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comments3.xml" ContentType="application/vnd.openxmlformats-officedocument.spreadsheetml.comments+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26.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employees.root.local\PW\EFF\StLouisMO\ees_evergy_ci\ENERGY EFFICIENCY\PROGRAM DEVELOPMENT\Applications\Tool Development\App Development - Excel\Evergy MO Application - Updates In Progress\New Construction\"/>
    </mc:Choice>
  </mc:AlternateContent>
  <xr:revisionPtr revIDLastSave="0" documentId="13_ncr:1_{BA8DAF87-F0CA-4631-AE45-6BE80FD22504}" xr6:coauthVersionLast="47" xr6:coauthVersionMax="47" xr10:uidLastSave="{00000000-0000-0000-0000-000000000000}"/>
  <workbookProtection workbookAlgorithmName="SHA-512" workbookHashValue="E6rNB4AWxsvQ19dEGmRl8JGbSq4yW7WokYh0FwO+hee+8CmFT8EzbegZ+B8W9T/MZr/xlPTE0RKVq0+mTdIEsA==" workbookSaltValue="h7SrGv5ktej/1HAzgzZO+g==" workbookSpinCount="100000" lockStructure="1"/>
  <bookViews>
    <workbookView showSheetTabs="0" xWindow="-120" yWindow="-120" windowWidth="51840" windowHeight="21240" tabRatio="774" firstSheet="9" activeTab="9" xr2:uid="{C98375D3-8807-4737-9D81-1E80D0E13379}"/>
  </bookViews>
  <sheets>
    <sheet name="Changelog" sheetId="107" state="hidden" r:id="rId1"/>
    <sheet name="MASTER" sheetId="247" state="hidden" r:id="rId2"/>
    <sheet name="DATA TABLES" sheetId="109" state="hidden" r:id="rId3"/>
    <sheet name="CBDATA" sheetId="108" state="hidden" r:id="rId4"/>
    <sheet name="TEMPLATE_N" sheetId="221" state="hidden" r:id="rId5"/>
    <sheet name="EXPORT_N" sheetId="244" state="hidden" r:id="rId6"/>
    <sheet name="MEASURES1_N" sheetId="241" state="hidden" r:id="rId7"/>
    <sheet name="MEASURES2_N" sheetId="201" state="hidden" r:id="rId8"/>
    <sheet name="LPD Tables" sheetId="116" state="hidden" r:id="rId9"/>
    <sheet name="N01-S01" sheetId="210" r:id="rId10"/>
    <sheet name="N01-S02" sheetId="211" r:id="rId11"/>
    <sheet name="N01-S03" sheetId="246" r:id="rId12"/>
    <sheet name="N02-S01" sheetId="212" r:id="rId13"/>
    <sheet name="N02-S02" sheetId="213" r:id="rId14"/>
    <sheet name="N02-S03" sheetId="214" r:id="rId15"/>
    <sheet name="N02-S04" sheetId="215" r:id="rId16"/>
    <sheet name="N03-S01" sheetId="216" r:id="rId17"/>
    <sheet name="xN03-S02" sheetId="227" state="hidden" r:id="rId18"/>
    <sheet name="xN03-S03-1a" sheetId="225" state="hidden" r:id="rId19"/>
    <sheet name="xN03-S03-1b" sheetId="226" state="hidden" r:id="rId20"/>
    <sheet name="xN03-S03-2a" sheetId="243" state="hidden" r:id="rId21"/>
    <sheet name="xN03-S03-2b" sheetId="242" state="hidden" r:id="rId22"/>
    <sheet name="N03-S04" sheetId="237" r:id="rId23"/>
    <sheet name="zN03-S05" sheetId="236" state="hidden" r:id="rId24"/>
    <sheet name="N03-S06" sheetId="240" r:id="rId25"/>
    <sheet name="N04-S01" sheetId="230" r:id="rId26"/>
    <sheet name="N04-S02" sheetId="231" r:id="rId27"/>
    <sheet name="N04-S03" sheetId="232" r:id="rId28"/>
    <sheet name="N04-S04" sheetId="229" r:id="rId29"/>
    <sheet name="N04-S05" sheetId="233" r:id="rId30"/>
    <sheet name="N04-S06" sheetId="234" r:id="rId31"/>
    <sheet name="N04-S09" sheetId="235" r:id="rId32"/>
    <sheet name="N05-S01" sheetId="217" r:id="rId33"/>
    <sheet name="N05-S02" sheetId="218" r:id="rId34"/>
    <sheet name="N05-S02-1" sheetId="219" r:id="rId35"/>
    <sheet name="N05-S03" sheetId="220" r:id="rId36"/>
    <sheet name="N05-S04" sheetId="207" r:id="rId37"/>
    <sheet name="N05-S05" sheetId="208" r:id="rId38"/>
    <sheet name="N05-S07" sheetId="209" r:id="rId39"/>
  </sheets>
  <definedNames>
    <definedName name="ACTIVEBLOCK">#REF!</definedName>
    <definedName name="ACTIVEBLOCK_N">'N05-S07'!$AL$26</definedName>
    <definedName name="ACTIVEBLOCK_X">#REF!</definedName>
    <definedName name="ACTIVEBONUS">#REF!</definedName>
    <definedName name="ACTIVEBONUS_N">TEMPLATE_N!$H$5</definedName>
    <definedName name="ACTIVEBONUS_X">#REF!</definedName>
    <definedName name="ACTIVECOMPL">#REF!</definedName>
    <definedName name="ACTIVECOMPL_N">'N05-S07'!$AL$25</definedName>
    <definedName name="ACTIVECOMPL_X">#REF!</definedName>
    <definedName name="ACTIVEOFFER">#REF!</definedName>
    <definedName name="ACTIVEOFFER_N">'N05-S07'!$AL$24</definedName>
    <definedName name="ACTIVEOFFER_X">#REF!</definedName>
    <definedName name="ACTIVERCX_X">#REF!</definedName>
    <definedName name="ACTIVEWBP_N">'N05-S07'!$AL$27</definedName>
    <definedName name="APP_TYPE">MASTER!$B$3</definedName>
    <definedName name="BLOCKBIDRATE">'DATA TABLES'!$D$122</definedName>
    <definedName name="BUILDING">BUILDINGTYPE[Building Type]</definedName>
    <definedName name="BUILDINGSELECT">#REF!</definedName>
    <definedName name="BUSDEVELNAME">BUSDEVEL[Business Development Lead]</definedName>
    <definedName name="CBALL">#REF!</definedName>
    <definedName name="CBALL_N">TEMPLATE_N!$S$32</definedName>
    <definedName name="CBCUSE">#REF!</definedName>
    <definedName name="CBCUST_N">TEMPLATE_N!$S$29</definedName>
    <definedName name="CBLIGHT_N">TEMPLATE_N!$S$27</definedName>
    <definedName name="CBPRESE">#REF!</definedName>
    <definedName name="CBPROJ_N">TEMPLATE_N!$S$31</definedName>
    <definedName name="CBRCX">#REF!</definedName>
    <definedName name="CBREQ">'DATA TABLES'!$D$116</definedName>
    <definedName name="CBXALL">#REF!</definedName>
    <definedName name="CBXCUS">#REF!</definedName>
    <definedName name="CITIES_LIST">CITIES[City]</definedName>
    <definedName name="CITYCODE">'N05-S07'!$G$50</definedName>
    <definedName name="CMECOMPAIRDESC">INDEX(#REF!,MATCH(#REF!,#REF!,0),1):INDEX(#REF!,MATCH(#REF!,#REF!,1),1)</definedName>
    <definedName name="CMECOMPAIRLIST_N">CMECOMPAIR_N[Proj Desc 1]</definedName>
    <definedName name="CMECOOKDESC">INDEX(#REF!,MATCH(#REF!,#REF!,0),1):INDEX(#REF!,MATCH(#REF!,#REF!,1),1)</definedName>
    <definedName name="CMECOOKLIST_N">CMECOOK_N[Proj Desc 1]</definedName>
    <definedName name="CMEHVACDESC">INDEX(#REF!,MATCH(#REF!,#REF!,0),1):INDEX(#REF!,MATCH(#REF!,#REF!,1),1)</definedName>
    <definedName name="CMEHVACLIST_N">CMEHVAC_N[Proj Desc 1]</definedName>
    <definedName name="CMELIGHTACTUALW">#REF!</definedName>
    <definedName name="CMELIGHTBASE1">#REF!</definedName>
    <definedName name="CMELIGHTBASEW">#REF!</definedName>
    <definedName name="CMELIGHTCONDESC">INDEX(#REF!,MATCH(#REF!,#REF!,0),1):INDEX(#REF!,MATCH(#REF!,#REF!,1),1)</definedName>
    <definedName name="CMELIGHTEFF1">#REF!</definedName>
    <definedName name="CMELIGHTEFFBASEW">#REF!</definedName>
    <definedName name="CMEMISC2DESC">#REF!</definedName>
    <definedName name="CMEMISC3DESC">INDEX(#REF!,MATCH(#REF!,#REF!,0),0):INDEX(#REF!,MATCH(#REF!,#REF!,1),0)</definedName>
    <definedName name="CMEMISCDESC">INDEX(#REF!,MATCH(#REF!,#REF!,0),1):INDEX(#REF!,MATCH(#REF!,#REF!,1),1)</definedName>
    <definedName name="CMEMISCLIST_N">CMEMISC_N[Proj Desc 1]</definedName>
    <definedName name="CMEMOTORDESC">INDEX(#REF!,MATCH(#REF!,#REF!,0),1):INDEX(#REF!,MATCH(#REF!,#REF!,1),1)</definedName>
    <definedName name="CMEMOTORLIST_N">CMEMOTOR_N[Proj Desc 1]</definedName>
    <definedName name="CMEREFRIDESC">INDEX(#REF!, MATCH(#REF!,#REF!, 0), 1):INDEX(#REF!, MATCH(#REF!,#REF!, 1), 1)</definedName>
    <definedName name="CMEREFRILIST_N">CMEREFRI_N[Proj Desc 1]</definedName>
    <definedName name="CODE_CITY">INDEX( CITYCOUNTYCODES[], MATCH( N02S03F17, CITYCOUNTYCODES[City], 0), 3)</definedName>
    <definedName name="CODE_COUNTY">OFFSET(INDEX(ZIPCODES_N, 1, 1), MATCH(N02S03F19, ZIPCODES_N, 0) - 1, 4)</definedName>
    <definedName name="COMPBUILD">#REF!</definedName>
    <definedName name="COMPBUILD_N">TEMPLATE_N!$E$145</definedName>
    <definedName name="COMPBUILD_X">#REF!</definedName>
    <definedName name="COMPCUSTOMER">#REF!</definedName>
    <definedName name="COMPDTM_N">TEMPLATE_N!$E$184</definedName>
    <definedName name="COMPMEASURE">#REF!</definedName>
    <definedName name="COMPMEASURE_N">TEMPLATE_N!$E$211</definedName>
    <definedName name="COMPMEASURE_X">#REF!</definedName>
    <definedName name="COMPPAY">#REF!</definedName>
    <definedName name="COMPPAY_N">TEMPLATE_N!$E$234</definedName>
    <definedName name="COMPPAY_X">#REF!</definedName>
    <definedName name="COMPRCX">#REF!</definedName>
    <definedName name="COMPSELECT">#REF!</definedName>
    <definedName name="COMPSUMMARY">#REF!</definedName>
    <definedName name="COMPTA">#REF!</definedName>
    <definedName name="COMPTA_N">TEMPLATE_N!$E$82</definedName>
    <definedName name="COMPTA_X">#REF!</definedName>
    <definedName name="COMPTERMS">#REF!</definedName>
    <definedName name="COMPTERMS_N">TEMPLATE_N!$E$76</definedName>
    <definedName name="COMPTERMS_X">#REF!</definedName>
    <definedName name="COMPWBP_N">TEMPLATE_N!$E$218</definedName>
    <definedName name="COSTTOTAL">#REF!</definedName>
    <definedName name="COSTTOTAL_N">TEMPLATE_N!$P$32</definedName>
    <definedName name="COSTTOTALALL">#REF!</definedName>
    <definedName name="COSTTOTALALL_N">TEMPLATE_N!$K$32</definedName>
    <definedName name="COSTTOTALALLCUSE">#REF!</definedName>
    <definedName name="COSTTOTALALLPRESE">#REF!</definedName>
    <definedName name="COSTTOTALALLRCXE">#REF!</definedName>
    <definedName name="COSTTOTALALLX">#REF!</definedName>
    <definedName name="COSTTOTALALLXCUS">#REF!</definedName>
    <definedName name="COSTTOTALCUSE">#REF!</definedName>
    <definedName name="COSTTOTALCUST_N">TEMPLATE_N!$P$29</definedName>
    <definedName name="COSTTOTALLIGHT_N">TEMPLATE_N!$P$27</definedName>
    <definedName name="COSTTOTALPRESE">#REF!</definedName>
    <definedName name="COSTTOTALSTD_N">TEMPLATE_N!$P$28</definedName>
    <definedName name="COSTTOTALWBP_N">TEMPLATE_N!$P$30</definedName>
    <definedName name="COSTTYPELIST">COSTTYPE[Cost Type]</definedName>
    <definedName name="COUNTYCODE">'N05-S07'!$G$51</definedName>
    <definedName name="CUSTINFOLIST">CUSTINFO[Customer Info]</definedName>
    <definedName name="CUSTLIGHTCONTLIST">#REF!</definedName>
    <definedName name="CUSTOMPROJECTTYPE">PROJECTTYPE[Project Category]</definedName>
    <definedName name="DESIGNTEAMLIST">DESIGNTEAM[Design Team Options]</definedName>
    <definedName name="EDR">CBDATA!$B$7</definedName>
    <definedName name="ELECPHASES">Table83[Electrical Phase Types]</definedName>
    <definedName name="ELOSS">CBDATA!$B$6</definedName>
    <definedName name="ENDUSECAT">ENDUSEALL[End Use to Coincident Peak Demand Factors]</definedName>
    <definedName name="ENERGYCODESLIST">ENERGYCODES[Codes]</definedName>
    <definedName name="ENERGYMODELLIST">ENERGYMODEL[Energy Modeling Software]</definedName>
    <definedName name="ENGCALC">#REF!</definedName>
    <definedName name="ENGCALC_N">'N05-S04'!$O$42</definedName>
    <definedName name="ENGCALC_X">#REF!</definedName>
    <definedName name="ENGDATE">#REF!</definedName>
    <definedName name="ENGDATE_N">'N05-S04'!$AG$41</definedName>
    <definedName name="ENGDATE_X">#REF!</definedName>
    <definedName name="ENGNRSNAMES">ENGNRS[Engineers]</definedName>
    <definedName name="ENGSIGN">#REF!</definedName>
    <definedName name="ENGSIGN_N">'N05-S04'!$O$41</definedName>
    <definedName name="ENGSIGN_X">#REF!</definedName>
    <definedName name="Excel_Ack_Compl_Main">INDIRECT(Excel_Ack_Compl[Main])</definedName>
    <definedName name="Excel_Ack_Compl_NC">INDIRECT(Excel_Ack_Compl[NC])</definedName>
    <definedName name="Excel_Ack_Compl_RCx">INDIRECT(Excel_Ack_Compl[RCx])</definedName>
    <definedName name="Excel_Ack_Contact_Main">INDIRECT(Excel_Ack_Contact[Main])</definedName>
    <definedName name="Excel_Ack_Contact_NC">INDIRECT(Excel_Ack_Contact[NC])</definedName>
    <definedName name="Excel_Ack_Contact_RCx">INDIRECT(Excel_Ack_Contact[RCx])</definedName>
    <definedName name="Excel_Ack_Main">INDIRECT(Excel_Ack[Main])</definedName>
    <definedName name="Excel_Ack_NC">INDIRECT(Excel_Ack[NC])</definedName>
    <definedName name="Excel_Ack_Offer_Main">INDIRECT(Excel_Ack_Offer[Main])</definedName>
    <definedName name="Excel_Ack_Offer_NC">INDIRECT(Excel_Ack_Offer[NC])</definedName>
    <definedName name="Excel_Ack_Offer_RCx">INDIRECT(Excel_Ack_Offer[RCx])</definedName>
    <definedName name="Excel_Ack_RCx">INDIRECT(Excel_Ack[RCx])</definedName>
    <definedName name="EXPIRATION">MASTER!$B$6</definedName>
    <definedName name="EXPIRATION_DATE">MASTER!$B$5</definedName>
    <definedName name="EXPNOTICE">#REF!</definedName>
    <definedName name="EXPNOTICE_N">'N01-S01'!$O$1</definedName>
    <definedName name="EXPNOTICE_X">#REF!</definedName>
    <definedName name="EXTLPDNUMBER">MEASURES2_N!$C$3</definedName>
    <definedName name="FOOT1">'DATA TABLES'!$D$1</definedName>
    <definedName name="FOOT2">'DATA TABLES'!$D$2</definedName>
    <definedName name="FOOT3">'DATA TABLES'!$D$3</definedName>
    <definedName name="FOOT4">'DATA TABLES'!$D$4</definedName>
    <definedName name="FOOT5">'DATA TABLES'!$D$5</definedName>
    <definedName name="FOOT6">'DATA TABLES'!$D$6</definedName>
    <definedName name="FOOTDISCLAIM">'DATA TABLES'!$D$7</definedName>
    <definedName name="FOOTDISCLAIM_N">'DATA TABLES'!$D$8</definedName>
    <definedName name="FOOTDISCLAIM_X">'DATA TABLES'!$D$9</definedName>
    <definedName name="GDR">CBDATA!$N$43</definedName>
    <definedName name="GLOSS">CBDATA!$N$42</definedName>
    <definedName name="GROWBASELABOR">'xN03-S03-2a'!$AK$23</definedName>
    <definedName name="GROWBASELABOR2">'xN03-S03-2a'!$AK$36</definedName>
    <definedName name="GROWBASELABOR3">'xN03-S03-2a'!$AK$49</definedName>
    <definedName name="GROWBASELABOR4">'xN03-S03-2a'!$AK$62</definedName>
    <definedName name="GROWBASEMATERIAL">'xN03-S03-2a'!$AH$23</definedName>
    <definedName name="GROWBASEMATERIAL2">'xN03-S03-2a'!$AH$36</definedName>
    <definedName name="GROWBASEMATERIAL3">'xN03-S03-2a'!$AH$49</definedName>
    <definedName name="GROWBASEMATERIAL4">'xN03-S03-2a'!$AH$62</definedName>
    <definedName name="GROWBASEWATT">'xN03-S03-2a'!$AZ$23</definedName>
    <definedName name="GROWBASEWATT2">'xN03-S03-2a'!$AZ$36</definedName>
    <definedName name="GROWBASEWATT3">'xN03-S03-2a'!$AZ$49</definedName>
    <definedName name="GROWBASEWATT4">'xN03-S03-2a'!$AZ$62</definedName>
    <definedName name="GROWEFFLABOR">'xN03-S03-2a'!$T$23</definedName>
    <definedName name="GROWEFFLABOR2">'xN03-S03-2a'!$T$36</definedName>
    <definedName name="GROWEFFLABOR3">'xN03-S03-2a'!$T$49</definedName>
    <definedName name="GROWEFFLABOR4">'xN03-S03-2a'!$T$62</definedName>
    <definedName name="GROWEFFMATERIAL">'xN03-S03-2a'!$Q$23</definedName>
    <definedName name="GROWEFFMATERIAL2">'xN03-S03-2a'!$Q$36</definedName>
    <definedName name="GROWEFFMATERIAL3">'xN03-S03-2a'!$Q$49</definedName>
    <definedName name="GROWEFFMATERIAL4">'xN03-S03-2a'!$Q$62</definedName>
    <definedName name="GROWEFFPPF">'xN03-S03-2a'!$BA$23</definedName>
    <definedName name="GROWEFFPPF2">'xN03-S03-2a'!$BA$36</definedName>
    <definedName name="GROWEFFPPF3">'xN03-S03-2a'!$BA$49</definedName>
    <definedName name="GROWEFFPPF4">'xN03-S03-2a'!$BA$62</definedName>
    <definedName name="GROWEFFWATT">'xN03-S03-2a'!$AY$23</definedName>
    <definedName name="GROWEFFWATT2">'xN03-S03-2a'!$AY$36</definedName>
    <definedName name="GROWEFFWATT3">'xN03-S03-2a'!$AY$49</definedName>
    <definedName name="GROWEFFWATT4">'xN03-S03-2a'!$AY$62</definedName>
    <definedName name="Hotline">"(844)687-0229"</definedName>
    <definedName name="IMPLSPECNAME">IMPLSPEC[Impl. Specialist]</definedName>
    <definedName name="INCCOSTCAP">'DATA TABLES'!$D$121</definedName>
    <definedName name="INCENSTATUS">#REF!</definedName>
    <definedName name="INCENSTATUS_N">TEMPLATE_N!$H$2</definedName>
    <definedName name="INCENSTATUS_X">#REF!</definedName>
    <definedName name="INCENTOTAL">#REF!</definedName>
    <definedName name="INCENTOTAL_N">TEMPLATE_N!$M$32</definedName>
    <definedName name="INCENTOTAL_X">#REF!</definedName>
    <definedName name="INCENTOTALCUSE">#REF!</definedName>
    <definedName name="INCENTOTALCUST_N">TEMPLATE_N!$M$29</definedName>
    <definedName name="INCENTOTALLIGHT_N">TEMPLATE_N!$M$27</definedName>
    <definedName name="INCENTOTALPRESE">#REF!</definedName>
    <definedName name="INCENTOTALPROV_N">'N05-S07'!$AI$58</definedName>
    <definedName name="INCENTOTALSTD_N">TEMPLATE_N!$M$28</definedName>
    <definedName name="INCENTOTALWBP_N">TEMPLATE_N!$M$30</definedName>
    <definedName name="INCENTTOTALRCXE">#REF!</definedName>
    <definedName name="INCENTTOTALSTUDY">#REF!</definedName>
    <definedName name="INCENTTOTALXCUS">#REF!</definedName>
    <definedName name="INCENTTYPE_LIST">INCENTTYPE[Incentive Type]</definedName>
    <definedName name="INCPREAPPROVAL">'DATA TABLES'!$D$128</definedName>
    <definedName name="INSTALL">INSTALLER[Installer]</definedName>
    <definedName name="INSTALLERLIST">INSTALLER[Installer]</definedName>
    <definedName name="INTLPDNUMBER">MEASURES2_N!$C$2</definedName>
    <definedName name="JotForm_FT">"https://www.jotform.com/form/210876036521149"</definedName>
    <definedName name="JotForm_PA">"https://www.jotform.com/build/213415627586158"</definedName>
    <definedName name="KWHRATEMAX">'DATA TABLES'!$D$119</definedName>
    <definedName name="KWHRATEMIN">'DATA TABLES'!$D$118</definedName>
    <definedName name="KWHSTATUS">#REF!</definedName>
    <definedName name="KWHSTATUS_N">TEMPLATE_N!$H$1</definedName>
    <definedName name="KWHSTATUS_X">#REF!</definedName>
    <definedName name="KWHTOTAL">#REF!</definedName>
    <definedName name="KWHTOTAL_N">TEMPLATE_N!$N$32</definedName>
    <definedName name="KWHTOTALALL">#REF!</definedName>
    <definedName name="KWHTOTALALL_N">TEMPLATE_N!$I$32</definedName>
    <definedName name="KWHTOTALALLCUSE">#REF!</definedName>
    <definedName name="KWHTOTALALLCUST_N">TEMPLATE_N!$I$29</definedName>
    <definedName name="KWHTOTALALLLIGHT_N">TEMPLATE_N!$I$27</definedName>
    <definedName name="KWHTOTALALLPRESE">#REF!</definedName>
    <definedName name="KWHTOTALALLRCXE">#REF!</definedName>
    <definedName name="KWHTOTALALLSTD_N">TEMPLATE_N!$I$28</definedName>
    <definedName name="KWHTOTALALLWBP_N">TEMPLATE_N!$I$30</definedName>
    <definedName name="KWHTOTALALLX">#REF!</definedName>
    <definedName name="KWHTOTALALLXCUS">#REF!</definedName>
    <definedName name="KWHTOTALCUSE">#REF!</definedName>
    <definedName name="KWHTOTALCUST_N">TEMPLATE_N!$N$29</definedName>
    <definedName name="KWHTOTALLIGHT_N">TEMPLATE_N!$N$27</definedName>
    <definedName name="KWHTOTALPRESE">#REF!</definedName>
    <definedName name="KWHTOTALPROV_N">'N05-S07'!$AL$58</definedName>
    <definedName name="KWHTOTALSTD_N">TEMPLATE_N!$N$28</definedName>
    <definedName name="KWHTOTALWBP_N">TEMPLATE_N!$N$30</definedName>
    <definedName name="KWRATE">'DATA TABLES'!$D$123</definedName>
    <definedName name="KWTOTAL">#REF!</definedName>
    <definedName name="KWTOTAL_N">TEMPLATE_N!$O$32</definedName>
    <definedName name="KWTOTALALL">#REF!</definedName>
    <definedName name="KWTOTALALL_N">TEMPLATE_N!$J$32</definedName>
    <definedName name="KWTOTALALLCUSE">#REF!</definedName>
    <definedName name="KWTOTALALLPRESE">#REF!</definedName>
    <definedName name="KWTOTALALLRCXE">#REF!</definedName>
    <definedName name="KWTOTALALLXCUS">#REF!</definedName>
    <definedName name="KWTOTALCUSE">#REF!</definedName>
    <definedName name="KWTOTALCUST_N">TEMPLATE_N!$J$29</definedName>
    <definedName name="KWTOTALLIGHT_N">TEMPLATE_N!$J$27</definedName>
    <definedName name="KWTOTALPRESE">#REF!</definedName>
    <definedName name="KWTOTALPROV_N">'N05-S07'!$AO$58</definedName>
    <definedName name="KWTOTALSTD_N">TEMPLATE_N!$J$28</definedName>
    <definedName name="KWTOTALWBP_N">TEMPLATE_N!$J$30</definedName>
    <definedName name="LEAKBASELINE">#REF!</definedName>
    <definedName name="LEAKREPAIRCOST">#REF!</definedName>
    <definedName name="LEAKREPAIRHRS">#REF!</definedName>
    <definedName name="LEAKREPAIRINC">#REF!</definedName>
    <definedName name="LEAKREPAIRKW">#REF!</definedName>
    <definedName name="LEAKREPAIRKWH">#REF!</definedName>
    <definedName name="LEAKSELECT">#REF!</definedName>
    <definedName name="LEAKUNIT_List" localSheetId="11">INDEX(#REF!,MATCH(#REF!,#REF!,0)):INDEX(#REF!,MATCH(#REF!,#REF!,1))</definedName>
    <definedName name="LEAKUNIT_List">INDEX(#REF!,MATCH(#REF!,#REF!,0)):INDEX(#REF!,MATCH(#REF!,#REF!,1))</definedName>
    <definedName name="LIGHTHEATCOIN">'DATA TABLES'!#REF!</definedName>
    <definedName name="LIST_Transformer_LF">BUILDINGTYPE[Transformer LF]</definedName>
    <definedName name="LOCATIONTYPELIST">#REF!</definedName>
    <definedName name="LPDSPACELIST">LPDWATT[Building Area Type]</definedName>
    <definedName name="M02S01F01">#REF!</definedName>
    <definedName name="M02S01F02">#REF!</definedName>
    <definedName name="M02S01F03">#REF!</definedName>
    <definedName name="M02S02F01">#REF!</definedName>
    <definedName name="M02S02F02">#REF!</definedName>
    <definedName name="M02S02F03">#REF!</definedName>
    <definedName name="M02S02F04">#REF!</definedName>
    <definedName name="M02S02F05">#REF!</definedName>
    <definedName name="M02S02F06">#REF!</definedName>
    <definedName name="M02S02F07">#REF!</definedName>
    <definedName name="M02S02F08">#REF!</definedName>
    <definedName name="M02S02F09">#REF!</definedName>
    <definedName name="M02S02F10">#REF!</definedName>
    <definedName name="M02S02F11">#REF!</definedName>
    <definedName name="M02S02F12">#REF!</definedName>
    <definedName name="M02S02F13">#REF!</definedName>
    <definedName name="M02S02F14">#REF!</definedName>
    <definedName name="M02S02F15">#REF!</definedName>
    <definedName name="M02S02F16">#REF!</definedName>
    <definedName name="M02S02F17">#REF!</definedName>
    <definedName name="M02S03F01">#REF!</definedName>
    <definedName name="M02S03F02">#REF!</definedName>
    <definedName name="M02S03F03">#REF!</definedName>
    <definedName name="M02S03F04">#REF!</definedName>
    <definedName name="M02S03F05">#REF!</definedName>
    <definedName name="M02S03F06">#REF!</definedName>
    <definedName name="M02S03F07">#REF!</definedName>
    <definedName name="M02S03F08">#REF!</definedName>
    <definedName name="M02S03F09">#REF!</definedName>
    <definedName name="M02S03F10">#REF!</definedName>
    <definedName name="M02S04F01">#REF!</definedName>
    <definedName name="M02S04F02">#REF!</definedName>
    <definedName name="M02S04F03">#REF!</definedName>
    <definedName name="M02S04F04">#REF!</definedName>
    <definedName name="M02S04F05">#REF!</definedName>
    <definedName name="M02S04F06">#REF!</definedName>
    <definedName name="M02S04F07">#REF!</definedName>
    <definedName name="M02S04F08">#REF!</definedName>
    <definedName name="M02S04F09">#REF!</definedName>
    <definedName name="M02S04F10">#REF!</definedName>
    <definedName name="M02S04F11">#REF!</definedName>
    <definedName name="M02S04F12">#REF!</definedName>
    <definedName name="M02S04F13">#REF!</definedName>
    <definedName name="M02S04F14">#REF!</definedName>
    <definedName name="M02S04F15">#REF!</definedName>
    <definedName name="M02S04F16">#REF!</definedName>
    <definedName name="M02S04F17">#REF!</definedName>
    <definedName name="M02S04F18">#REF!</definedName>
    <definedName name="M02S04F19">#REF!</definedName>
    <definedName name="M02S04F20">#REF!</definedName>
    <definedName name="M02S04F21">#REF!</definedName>
    <definedName name="M02S04F22">#REF!</definedName>
    <definedName name="M02S04F23">#REF!</definedName>
    <definedName name="M02S04F24">#REF!</definedName>
    <definedName name="M02S04F25">#REF!</definedName>
    <definedName name="M05S01F01">#REF!</definedName>
    <definedName name="M05S01F02">#REF!</definedName>
    <definedName name="M05S01F03">#REF!</definedName>
    <definedName name="M05S01F04">#REF!</definedName>
    <definedName name="M05S01F05">#REF!</definedName>
    <definedName name="M05S01F06">#REF!</definedName>
    <definedName name="M05S01F07">#REF!</definedName>
    <definedName name="M05S01F08">#REF!</definedName>
    <definedName name="M05S01F09">#REF!</definedName>
    <definedName name="M05S01F10">#REF!</definedName>
    <definedName name="M05S01F11">#REF!</definedName>
    <definedName name="M05S01F12">#REF!</definedName>
    <definedName name="M05S01F13">#REF!</definedName>
    <definedName name="M05S01F14">#REF!</definedName>
    <definedName name="M05S02F01">#REF!</definedName>
    <definedName name="M05S02F02">#REF!</definedName>
    <definedName name="M05S02HIDE">#REF!</definedName>
    <definedName name="M05S04F01">#REF!</definedName>
    <definedName name="M05S04F02">#REF!</definedName>
    <definedName name="M05S04F03">#REF!</definedName>
    <definedName name="M05S04F04">#REF!</definedName>
    <definedName name="M05S05F01">#REF!</definedName>
    <definedName name="M05S05F02">#REF!</definedName>
    <definedName name="M05S07F02">#REF!</definedName>
    <definedName name="M05S07F03">#REF!</definedName>
    <definedName name="M05S07F04">#REF!</definedName>
    <definedName name="M05S07F05">#REF!</definedName>
    <definedName name="M05S07F06">#REF!</definedName>
    <definedName name="M05S07F07">#REF!</definedName>
    <definedName name="M05S07F08">#REF!</definedName>
    <definedName name="M05S07F09">#REF!</definedName>
    <definedName name="M1S1">#REF!</definedName>
    <definedName name="M1S2">#REF!</definedName>
    <definedName name="M1S3">#REF!</definedName>
    <definedName name="M1S4">#REF!</definedName>
    <definedName name="M1S5">#REF!</definedName>
    <definedName name="M1S6">#REF!</definedName>
    <definedName name="M1S7">#REF!</definedName>
    <definedName name="M1S8">#REF!</definedName>
    <definedName name="M2S1">#REF!</definedName>
    <definedName name="M2S2">#REF!</definedName>
    <definedName name="M2S3">#REF!</definedName>
    <definedName name="M2S4">#REF!</definedName>
    <definedName name="M2S5">#REF!</definedName>
    <definedName name="M2S6">#REF!</definedName>
    <definedName name="M2S7">#REF!</definedName>
    <definedName name="M2S8">#REF!</definedName>
    <definedName name="M3S1">#REF!</definedName>
    <definedName name="M3S2">#REF!</definedName>
    <definedName name="M3S3">#REF!</definedName>
    <definedName name="M3S4">#REF!</definedName>
    <definedName name="M3S5">#REF!</definedName>
    <definedName name="M3S6">#REF!</definedName>
    <definedName name="M3S7">#REF!</definedName>
    <definedName name="M3S8">#REF!</definedName>
    <definedName name="M4S1">#REF!</definedName>
    <definedName name="M4S2">#REF!</definedName>
    <definedName name="M4S3">#REF!</definedName>
    <definedName name="M4S4">#REF!</definedName>
    <definedName name="M4S4UNITCHECK">#REF!</definedName>
    <definedName name="M4S5">#REF!</definedName>
    <definedName name="M4S5UNITCHECK">#REF!</definedName>
    <definedName name="M4S6">#REF!</definedName>
    <definedName name="M4S6UNITCHECK">#REF!</definedName>
    <definedName name="M4S7">#REF!</definedName>
    <definedName name="M4S7UNITCHECK">#REF!</definedName>
    <definedName name="M4S8">#REF!</definedName>
    <definedName name="M4S8UNITCHECK">#REF!</definedName>
    <definedName name="M4S9">#REF!</definedName>
    <definedName name="M4S9UNITCHECK">#REF!</definedName>
    <definedName name="M5S1">#REF!</definedName>
    <definedName name="M5S2">#REF!</definedName>
    <definedName name="M5S3">#REF!</definedName>
    <definedName name="M5S4">#REF!</definedName>
    <definedName name="M5S5">#REF!</definedName>
    <definedName name="M5S6">#REF!</definedName>
    <definedName name="M5S7">#REF!</definedName>
    <definedName name="M5S8">#REF!</definedName>
    <definedName name="M6S1">#REF!</definedName>
    <definedName name="M6S2">#REF!</definedName>
    <definedName name="M6S3">#REF!</definedName>
    <definedName name="M6S4">#REF!</definedName>
    <definedName name="M6S5">#REF!</definedName>
    <definedName name="M6S6">#REF!</definedName>
    <definedName name="M6S7">#REF!</definedName>
    <definedName name="M6S8">#REF!</definedName>
    <definedName name="M7S1">#REF!</definedName>
    <definedName name="M7S2">#REF!</definedName>
    <definedName name="M7S3">#REF!</definedName>
    <definedName name="M7S4">#REF!</definedName>
    <definedName name="M7S5">#REF!</definedName>
    <definedName name="M7S6">#REF!</definedName>
    <definedName name="M7S7">#REF!</definedName>
    <definedName name="M7S8">#REF!</definedName>
    <definedName name="MAIN_N">TEMPLATE_N!$B$9</definedName>
    <definedName name="MAIN1">#REF!</definedName>
    <definedName name="MAIN1_X">#REF!</definedName>
    <definedName name="MAIN2">#REF!</definedName>
    <definedName name="MAIN2_X">#REF!</definedName>
    <definedName name="MAIN3">#REF!</definedName>
    <definedName name="MAIN3_N">TEMPLATE_N!$B$27</definedName>
    <definedName name="MAIN3_X">#REF!</definedName>
    <definedName name="MAIN4">#REF!</definedName>
    <definedName name="MAIN4_N">TEMPLATE_N!$B$37</definedName>
    <definedName name="MAIN4_X">#REF!</definedName>
    <definedName name="MAIN5">#REF!</definedName>
    <definedName name="MAIN5_N">TEMPLATE_N!$B$47</definedName>
    <definedName name="MAIN5_X">#REF!</definedName>
    <definedName name="MAIN6">#REF!</definedName>
    <definedName name="MAIN6_N">TEMPLATE_N!$B$56</definedName>
    <definedName name="MAIN6_X">#REF!</definedName>
    <definedName name="MAIN7">#REF!</definedName>
    <definedName name="MAIN7_N">TEMPLATE_N!$B$65</definedName>
    <definedName name="MEASTOTALALL">#REF!</definedName>
    <definedName name="MEASTOTALALL_N">TEMPLATE_N!$H$32</definedName>
    <definedName name="MEASTOTALALL_X">#REF!</definedName>
    <definedName name="MEASTOTALCUS_N">TEMPLATE_N!$H$29</definedName>
    <definedName name="MEASTOTALCUSE">#REF!</definedName>
    <definedName name="MEASTOTALLIGHT_N">TEMPLATE_N!$H$27</definedName>
    <definedName name="MEASTOTALPRES_N">TEMPLATE_N!$H$28</definedName>
    <definedName name="MEASTOTALPRESE">#REF!</definedName>
    <definedName name="MEASTOTALWBP_N">TEMPLATE_N!$H$30</definedName>
    <definedName name="MEASUREBLDG">'DATA TABLES'!$C$107</definedName>
    <definedName name="MEASURECB">'DATA TABLES'!$C$101</definedName>
    <definedName name="MEASUREELI">'DATA TABLES'!$C$98</definedName>
    <definedName name="MEASUREINCR">'DATA TABLES'!$C$111</definedName>
    <definedName name="MEASURELPD">'DATA TABLES'!$C$110</definedName>
    <definedName name="MEASUREPAY">'DATA TABLES'!$C$100</definedName>
    <definedName name="MEASURERATE">'DATA TABLES'!$C$103</definedName>
    <definedName name="MEASURESAVE">'DATA TABLES'!$C$99</definedName>
    <definedName name="MEASURESITE">'DATA TABLES'!$C$108</definedName>
    <definedName name="MEASURESTEP1">'DATA TABLES'!$C$109</definedName>
    <definedName name="MEASURESUBMIT">'DATA TABLES'!$C$102</definedName>
    <definedName name="N02S01F01">'N02-S01'!$F$27</definedName>
    <definedName name="N02S01F02">'N02-S01'!$X$27</definedName>
    <definedName name="N02S01F03">'N02-S01'!$AL$27</definedName>
    <definedName name="N02S02F01">'N02-S02'!$F$16</definedName>
    <definedName name="N02S02F02">'N02-S02'!$M$16</definedName>
    <definedName name="N02S02F03">'N02-S02'!$T$16</definedName>
    <definedName name="N02S02F04">'N02-S02'!$AA$16</definedName>
    <definedName name="N02S02F05">'N02-S02'!$AH$16</definedName>
    <definedName name="N02S02F06">'N02-S02'!$F$19</definedName>
    <definedName name="N02S02F07">'N02-S02'!$M$19</definedName>
    <definedName name="N02S02F08">'N02-S02'!$T$19</definedName>
    <definedName name="N02S02F09">'N02-S02'!$AA$19</definedName>
    <definedName name="N02S02F10">'N02-S02'!$AH$19</definedName>
    <definedName name="N02S02F11">'N02-S02'!$F$25</definedName>
    <definedName name="N02S02F12">'N02-S02'!$M$25</definedName>
    <definedName name="N02S02F13">'N02-S02'!$T$25</definedName>
    <definedName name="N02S02F14">'N02-S02'!$AA$25</definedName>
    <definedName name="N02S02F15">'N02-S02'!$AH$25</definedName>
    <definedName name="N02S02F16">'N02-S02'!$F$28</definedName>
    <definedName name="N02S02F17">'N02-S02'!$M$28</definedName>
    <definedName name="N02S02F18">'N02-S02'!$T$28</definedName>
    <definedName name="N02S02F19">'N02-S02'!$AA$28</definedName>
    <definedName name="N02S02F20">'N02-S02'!$AH$28</definedName>
    <definedName name="N02S02F21">'N02-S02'!$F$34</definedName>
    <definedName name="N02S02F22">'N02-S02'!$M$34</definedName>
    <definedName name="N02S02F23">'N02-S02'!$T$34</definedName>
    <definedName name="N02S02F24">'N02-S02'!$AA$34</definedName>
    <definedName name="N02S02F25">'N02-S02'!$AH$34</definedName>
    <definedName name="N02S02F26">'N02-S02'!$F$37</definedName>
    <definedName name="N02S02F27">'N02-S02'!$M$37</definedName>
    <definedName name="N02S02F28">'N02-S02'!$T$37</definedName>
    <definedName name="N02S02F29">'N02-S02'!$AA$37</definedName>
    <definedName name="N02S02F30">'N02-S02'!$AH$37</definedName>
    <definedName name="N02S02F31">'N02-S02'!$F$43</definedName>
    <definedName name="N02S02F32">'N02-S02'!$M$43</definedName>
    <definedName name="N02S02F33">'N02-S02'!$T$43</definedName>
    <definedName name="N02S02F34">'N02-S02'!$AA$43</definedName>
    <definedName name="N02S02F35">'N02-S02'!$AH$43</definedName>
    <definedName name="N02S02F36">'N02-S02'!$F$46</definedName>
    <definedName name="N02S02F37">'N02-S02'!$M$46</definedName>
    <definedName name="N02S02F38">'N02-S02'!$T$46</definedName>
    <definedName name="N02S02F39">'N02-S02'!$AA$46</definedName>
    <definedName name="N02S02F40">'N02-S02'!$AH$46</definedName>
    <definedName name="N02S02F41">'N02-S02'!$F$52</definedName>
    <definedName name="N02S02F42">'N02-S02'!$M$52</definedName>
    <definedName name="N02S02F43">'N02-S02'!$T$52</definedName>
    <definedName name="N02S02F44">'N02-S02'!$AA$52</definedName>
    <definedName name="N02S02F45">'N02-S02'!$AH$52</definedName>
    <definedName name="N02S02F46">'N02-S02'!$F$55</definedName>
    <definedName name="N02S02F47">'N02-S02'!$M$55</definedName>
    <definedName name="N02S02F48">'N02-S02'!$T$55</definedName>
    <definedName name="N02S02F49">'N02-S02'!$AA$55</definedName>
    <definedName name="N02S02F50">'N02-S02'!$AH$55</definedName>
    <definedName name="N02S02F51">'N02-S02'!$F$61</definedName>
    <definedName name="N02S02F52">'N02-S02'!$M$61</definedName>
    <definedName name="N02S02F53">'N02-S02'!$T$61</definedName>
    <definedName name="N02S02F54">'N02-S02'!$AA$61</definedName>
    <definedName name="N02S02F55">'N02-S02'!$AH$61</definedName>
    <definedName name="N02S02F56">'N02-S02'!$F$64</definedName>
    <definedName name="N02S02F57">'N02-S02'!$M$64</definedName>
    <definedName name="N02S02F58">'N02-S02'!$T$64</definedName>
    <definedName name="N02S02F59">'N02-S02'!$AA$64</definedName>
    <definedName name="N02S02F60">'N02-S02'!$AH$64</definedName>
    <definedName name="N02S03F01">'N02-S03'!$F$15</definedName>
    <definedName name="N02S03F02">'N02-S03'!$M$15</definedName>
    <definedName name="N02S03F03">'N02-S03'!$T$15</definedName>
    <definedName name="N02S03F04">'N02-S03'!$AA$15</definedName>
    <definedName name="N02S03F05">'N02-S03'!$AH$15</definedName>
    <definedName name="N02S03F06">'N02-S03'!$F$18</definedName>
    <definedName name="N02S03F07">'N02-S03'!$M$18</definedName>
    <definedName name="N02S03F08">'N02-S03'!$T$18</definedName>
    <definedName name="N02S03F09">'N02-S03'!$AA$18</definedName>
    <definedName name="N02S03F10">'N02-S03'!$AH$18</definedName>
    <definedName name="N02S03F11">'N02-S03'!$I$22</definedName>
    <definedName name="N02S03F12">'N02-S03'!$P$22</definedName>
    <definedName name="N02S03F13">'N02-S03'!$W$22</definedName>
    <definedName name="N02S03F14">'N02-S03'!$AD$22</definedName>
    <definedName name="N02S03F15">'N02-S03'!$F$25</definedName>
    <definedName name="N02S03F16">'N02-S03'!$M$25</definedName>
    <definedName name="N02S03F17">'N02-S03'!$T$25</definedName>
    <definedName name="N02S03F18">'N02-S03'!$AA$25</definedName>
    <definedName name="N02S03F19">'N02-S03'!$AH$25</definedName>
    <definedName name="N02S03F20">'N02-S03'!$V$27</definedName>
    <definedName name="N02S03F21">'N02-S03'!$F$30</definedName>
    <definedName name="N02S03F22">'N02-S03'!$M$30</definedName>
    <definedName name="N02S03F23">'N02-S03'!$T$30</definedName>
    <definedName name="N02S03F24">'N02-S03'!$AA$30</definedName>
    <definedName name="N02S03F25">'N02-S03'!$AH$30</definedName>
    <definedName name="N02S03F26">'N02-S03'!$F$36</definedName>
    <definedName name="N02S03F27">'N02-S03'!$M$36</definedName>
    <definedName name="N02S03F28">'N02-S03'!$T$36</definedName>
    <definedName name="N02S03F29">'N02-S03'!$AA$36</definedName>
    <definedName name="N02S03F30">'N02-S03'!$AH$36</definedName>
    <definedName name="N02S03F31">'N02-S03'!$F$39</definedName>
    <definedName name="N02S03F32">'N02-S03'!$M$39</definedName>
    <definedName name="N02S03F33">'N02-S03'!$T$39</definedName>
    <definedName name="N02S03F34">'N02-S03'!$AA$39</definedName>
    <definedName name="N02S03F35">'N02-S03'!$AH$39</definedName>
    <definedName name="N02S03F36">'N02-S03'!$F$42</definedName>
    <definedName name="N02S04F01">'N02-S04'!$L$34</definedName>
    <definedName name="N02S04F02">'N02-S04'!$O$34</definedName>
    <definedName name="N02S04F03">'N02-S04'!$R$34</definedName>
    <definedName name="N02S04F04">'N02-S04'!$U$34</definedName>
    <definedName name="N02S04F05">'N02-S04'!$X$34</definedName>
    <definedName name="N02S04F06">'N02-S04'!$AA$34</definedName>
    <definedName name="N02S04F07">'N02-S04'!$AD$34</definedName>
    <definedName name="N02S04F08">'N02-S04'!$N$39</definedName>
    <definedName name="N02S04F09">'N02-S04'!$K$47</definedName>
    <definedName name="N02S04F10">'N02-S04'!$N$19</definedName>
    <definedName name="N02S04F11">'N02-S04'!$N$20</definedName>
    <definedName name="N02S04F12">'N02-S04'!$N$21</definedName>
    <definedName name="N02S04F13">'N02-S04'!$N$22</definedName>
    <definedName name="N02S04F14">'N02-S04'!$N$23</definedName>
    <definedName name="N02S04F15">'N02-S04'!$N$25</definedName>
    <definedName name="N02S04F16">'N02-S04'!$N$26</definedName>
    <definedName name="N02S04F17">'N02-S04'!$N$28</definedName>
    <definedName name="N02S04F18">'N02-S04'!$N$29</definedName>
    <definedName name="N02S04F19">'N02-S04'!$N$30</definedName>
    <definedName name="N02S04F20">'N02-S04'!$X$20</definedName>
    <definedName name="N02S04F21">'N02-S04'!$K$45</definedName>
    <definedName name="N02S04F22">'N02-S04'!$K$49</definedName>
    <definedName name="N02S04F23">'N02-S04'!$K$51</definedName>
    <definedName name="N02S04F24">'N02-S04'!$K$53</definedName>
    <definedName name="N02S04F25">'N02-S04'!$K$55</definedName>
    <definedName name="N02S04F26">'N02-S04'!$K$57</definedName>
    <definedName name="N02S04F27">'N02-S04'!$Y$45</definedName>
    <definedName name="N02S04F28">'N02-S04'!$Y$47</definedName>
    <definedName name="N02S04F29">'N02-S04'!$Y$49</definedName>
    <definedName name="N02S04F30">'N02-S04'!$Y$51</definedName>
    <definedName name="N02S04F31">'N02-S04'!$Y$53</definedName>
    <definedName name="N02S04F32">'N02-S04'!$Y$55</definedName>
    <definedName name="N02S04F33">'N02-S04'!$O$87</definedName>
    <definedName name="N02S04F34">'N02-S04'!$O$88</definedName>
    <definedName name="N02S04F35">'N02-S04'!$O$89</definedName>
    <definedName name="N02S04F36">'N02-S04'!$O$90</definedName>
    <definedName name="N02S04F37">'N02-S04'!$K$95</definedName>
    <definedName name="N02S04F38">'N02-S04'!$K$108</definedName>
    <definedName name="N02S04F39">'N02-S04'!$K$118</definedName>
    <definedName name="N02S04F40">'N02-S04'!$K$127</definedName>
    <definedName name="N02S04F41">'N02-S04'!$K$132</definedName>
    <definedName name="N02S04TB1">TEMPLATE_N!$C$194</definedName>
    <definedName name="N02S04TB10">TEMPLATE_N!$C$203</definedName>
    <definedName name="N02S04TB11">TEMPLATE_N!$C$204</definedName>
    <definedName name="N02S04TB12">TEMPLATE_N!$C$205</definedName>
    <definedName name="N02S04TB13">TEMPLATE_N!$C$206</definedName>
    <definedName name="N02S04TB14">TEMPLATE_N!$C$207</definedName>
    <definedName name="N02S04TB15">TEMPLATE_N!$C$208</definedName>
    <definedName name="N02S04TB2">TEMPLATE_N!$C$195</definedName>
    <definedName name="N02S04TB3">TEMPLATE_N!$C$196</definedName>
    <definedName name="N02S04TB4">TEMPLATE_N!$C$197</definedName>
    <definedName name="N02S04TB5">TEMPLATE_N!$C$198</definedName>
    <definedName name="N02S04TB6">TEMPLATE_N!$C$199</definedName>
    <definedName name="N02S04TB7">TEMPLATE_N!$C$200</definedName>
    <definedName name="N02S04TB8">TEMPLATE_N!$C$201</definedName>
    <definedName name="N02S04TB9">TEMPLATE_N!$C$202</definedName>
    <definedName name="N04S09F01">'N04-S09'!$J$25</definedName>
    <definedName name="N04S09F02">'N04-S09'!$J$35</definedName>
    <definedName name="N04S09F03">'N04-S09'!$Q$35</definedName>
    <definedName name="N04S09F04">'N04-S09'!$X$35</definedName>
    <definedName name="N04S09F05">'N04-S09'!$AE$35</definedName>
    <definedName name="N04S09F06">'N04-S09'!$J$38</definedName>
    <definedName name="N04S09F07">'N04-S09'!$T$38</definedName>
    <definedName name="N04S09F08">'N04-S09'!$J$41</definedName>
    <definedName name="N04S09F09">'N04-S09'!$Q$41</definedName>
    <definedName name="N04S09F10">'N04-S09'!$X$41</definedName>
    <definedName name="N05S01F01">'N05-S01'!$V$13</definedName>
    <definedName name="N05S01F02">'N05-S01'!$F$18</definedName>
    <definedName name="N05S01F03">'N05-S01'!$M$18</definedName>
    <definedName name="N05S01F04">'N05-S01'!$T$18</definedName>
    <definedName name="N05S01F05">'N05-S01'!$AA$18</definedName>
    <definedName name="N05S01F06">'N05-S01'!$AH$18</definedName>
    <definedName name="N05S01F07">'N05-S01'!$F$21</definedName>
    <definedName name="N05S01F08">'N05-S01'!$M$21</definedName>
    <definedName name="N05S01F09">'N05-S01'!$T$21</definedName>
    <definedName name="N05S01F10">'N05-S01'!$AA$21</definedName>
    <definedName name="N05S01F11">'N05-S01'!$AH$21</definedName>
    <definedName name="N05S01F12">'N05-S01'!$AA$24</definedName>
    <definedName name="N05S01F13">'N05-S01'!$AH$24</definedName>
    <definedName name="N05S01F14">'N05-S01'!$AJ$24</definedName>
    <definedName name="N05S01F15">'N05-S01'!$V$15</definedName>
    <definedName name="N05S04F01">'N05-S04'!$L$50</definedName>
    <definedName name="N05S04F02">'N05-S04'!$Y$50</definedName>
    <definedName name="N05S04F03">'N05-S04'!$AG$50</definedName>
    <definedName name="N05S05F01">'N05-S05'!$K$63</definedName>
    <definedName name="N05S05F02">'N05-S05'!$S$63</definedName>
    <definedName name="N05S07F02">'N05-S07'!$AL$16</definedName>
    <definedName name="N05S07F03">'N05-S07'!$AL$17</definedName>
    <definedName name="N05S07F04">'N05-S07'!$AL$18</definedName>
    <definedName name="N05S07F05">'N05-S07'!$AL$19</definedName>
    <definedName name="N05S07F06">'N05-S07'!$AL$20</definedName>
    <definedName name="N05S07F07">'N05-S07'!$G$18</definedName>
    <definedName name="N05S07F08">'N05-S07'!$W$15</definedName>
    <definedName name="N05S07F09">'N05-S07'!$W$22</definedName>
    <definedName name="N1S1">TEMPLATE_N!$B$10</definedName>
    <definedName name="N1S2">TEMPLATE_N!$B$11</definedName>
    <definedName name="N1S3">TEMPLATE_N!$B$12</definedName>
    <definedName name="N1S4">TEMPLATE_N!$B$13</definedName>
    <definedName name="N1S5">TEMPLATE_N!$B$14</definedName>
    <definedName name="N1S6">TEMPLATE_N!$B$15</definedName>
    <definedName name="N1S7">TEMPLATE_N!$B$16</definedName>
    <definedName name="N1S8">TEMPLATE_N!$B$17</definedName>
    <definedName name="N2S1">TEMPLATE_N!$B$19</definedName>
    <definedName name="N2S2">TEMPLATE_N!$B$20</definedName>
    <definedName name="N2S3">TEMPLATE_N!$B$21</definedName>
    <definedName name="N2S4">TEMPLATE_N!$B$22</definedName>
    <definedName name="N2S5">TEMPLATE_N!$B$23</definedName>
    <definedName name="N2S6">TEMPLATE_N!$B$24</definedName>
    <definedName name="N2S7">TEMPLATE_N!$B$25</definedName>
    <definedName name="N2S8">TEMPLATE_N!$B$26</definedName>
    <definedName name="N3S1">TEMPLATE_N!$B$28</definedName>
    <definedName name="N3S2">TEMPLATE_N!$B$29</definedName>
    <definedName name="N3S3">TEMPLATE_N!$B$30</definedName>
    <definedName name="N3S4">TEMPLATE_N!$B$31</definedName>
    <definedName name="N3S5">TEMPLATE_N!$B$32</definedName>
    <definedName name="N3S6">TEMPLATE_N!$B$33</definedName>
    <definedName name="N3S7">TEMPLATE_N!$B$34</definedName>
    <definedName name="N3S8">TEMPLATE_N!$B$35</definedName>
    <definedName name="N3S9">TEMPLATE_N!$B$36</definedName>
    <definedName name="N4S1">TEMPLATE_N!$B$38</definedName>
    <definedName name="N4S1UNITCHECK">'N04-S01'!$BB$200</definedName>
    <definedName name="N4S2">TEMPLATE_N!$B$39</definedName>
    <definedName name="N4S2UNITCHECK">'N04-S02'!$BB$200</definedName>
    <definedName name="N4S3">TEMPLATE_N!$B$40</definedName>
    <definedName name="N4S3UNITCHECK">'N04-S03'!$BB$200</definedName>
    <definedName name="N4S4">TEMPLATE_N!$B$41</definedName>
    <definedName name="N4S4UNITCHECK">'N04-S04'!$BB$200</definedName>
    <definedName name="N4S5">TEMPLATE_N!$B$42</definedName>
    <definedName name="N4S5UNITCHECK">'N04-S05'!$BB$200</definedName>
    <definedName name="N4S6">TEMPLATE_N!$B$43</definedName>
    <definedName name="N4S6UNITCHECK">'N04-S06'!$BB$200</definedName>
    <definedName name="N4S7">TEMPLATE_N!$B$44</definedName>
    <definedName name="N4S8">TEMPLATE_N!$B$45</definedName>
    <definedName name="N4S9">TEMPLATE_N!$B$46</definedName>
    <definedName name="N5S1">TEMPLATE_N!$B$48</definedName>
    <definedName name="N5S2">TEMPLATE_N!$B$49</definedName>
    <definedName name="N5S3">TEMPLATE_N!$B$50</definedName>
    <definedName name="N5S4">TEMPLATE_N!$B$51</definedName>
    <definedName name="N5S5">TEMPLATE_N!$B$52</definedName>
    <definedName name="N5S6">TEMPLATE_N!$B$53</definedName>
    <definedName name="N5S7">TEMPLATE_N!$B$54</definedName>
    <definedName name="N5S8">TEMPLATE_N!$B$55</definedName>
    <definedName name="N6S1">TEMPLATE_N!$B$57</definedName>
    <definedName name="N6S2">TEMPLATE_N!$B$58</definedName>
    <definedName name="N6S3">TEMPLATE_N!$B$59</definedName>
    <definedName name="N6S4">TEMPLATE_N!$B$60</definedName>
    <definedName name="N6S5">TEMPLATE_N!$B$61</definedName>
    <definedName name="N6S6">TEMPLATE_N!$B$62</definedName>
    <definedName name="N6S7">TEMPLATE_N!$B$63</definedName>
    <definedName name="N6S8">TEMPLATE_N!$B$64</definedName>
    <definedName name="N7S1">TEMPLATE_N!$B$66</definedName>
    <definedName name="N7S2">TEMPLATE_N!$B$67</definedName>
    <definedName name="N7S3">TEMPLATE_N!$B$68</definedName>
    <definedName name="N7S4">TEMPLATE_N!$B$69</definedName>
    <definedName name="N7S5">TEMPLATE_N!$B$70</definedName>
    <definedName name="N7S6">TEMPLATE_N!$B$71</definedName>
    <definedName name="N7S7">TEMPLATE_N!$B$72</definedName>
    <definedName name="N7S8">TEMPLATE_N!$B$73</definedName>
    <definedName name="NCLIGHTINGCAP">'DATA TABLES'!$D$126</definedName>
    <definedName name="NCLIGHTINGRATE">'DATA TABLES'!$D$125</definedName>
    <definedName name="NEWCONCODE">'N05-S07'!$AL$21</definedName>
    <definedName name="OVERRIDETOTAL">#REF!</definedName>
    <definedName name="OVERRIDETOTAL_N">TEMPLATE_N!$Q$32</definedName>
    <definedName name="OVERRIDETOTAL_X">#REF!</definedName>
    <definedName name="PAYALL">#REF!</definedName>
    <definedName name="PAYALL_N">TEMPLATE_N!$T$32</definedName>
    <definedName name="PAYBACKREQ">'DATA TABLES'!$D$117</definedName>
    <definedName name="PAYCUSE">#REF!</definedName>
    <definedName name="PAYCUST_N">TEMPLATE_N!$T$29</definedName>
    <definedName name="PayeeChckBox">#REF!</definedName>
    <definedName name="PayeeChckBox_N">TEMPLATE_N!$C$250</definedName>
    <definedName name="PayeeChckBox_X">#REF!</definedName>
    <definedName name="PAYLIGHT_N">TEMPLATE_N!$T$27</definedName>
    <definedName name="PAYMENTLIST">PAYMENT[Payment to]</definedName>
    <definedName name="PAYMENTLIST_N">PAYMENT_N[Payment to]</definedName>
    <definedName name="Paymentlist_x">PAYMENT_X[Payment to]</definedName>
    <definedName name="PAYPRESE">#REF!</definedName>
    <definedName name="PAYPROJ_N">TEMPLATE_N!$T$31</definedName>
    <definedName name="PAYRCX">#REF!</definedName>
    <definedName name="PAYTO">PAYMENT[Payment to]</definedName>
    <definedName name="PAYXALL">#REF!</definedName>
    <definedName name="PAYXCUS">#REF!</definedName>
    <definedName name="PEAKTD">CBDATA!$B$8</definedName>
    <definedName name="PMATCHSIZE">#REF!</definedName>
    <definedName name="PNAME">MASTER!$B$2</definedName>
    <definedName name="PREAPPROV2018">'DATA TABLES'!#REF!</definedName>
    <definedName name="_xlnm.Print_Area" localSheetId="9">'N01-S01'!$A$1:$AS$202</definedName>
    <definedName name="_xlnm.Print_Area" localSheetId="10">'N01-S02'!$A$1:$AS$202</definedName>
    <definedName name="_xlnm.Print_Area" localSheetId="11">'N01-S03'!$A$1:$AS$202</definedName>
    <definedName name="_xlnm.Print_Area" localSheetId="12">'N02-S01'!$A$1:$AS$202</definedName>
    <definedName name="_xlnm.Print_Area" localSheetId="13">'N02-S02'!$A$1:$AS$202</definedName>
    <definedName name="_xlnm.Print_Area" localSheetId="14">'N02-S03'!$A$1:$AS$202</definedName>
    <definedName name="_xlnm.Print_Area" localSheetId="15">'N02-S04'!$K$15:$AJ$76,'N02-S04'!$K$80:$AJ$140</definedName>
    <definedName name="_xlnm.Print_Area" localSheetId="16">'N03-S01'!$A$1:$AS$202</definedName>
    <definedName name="_xlnm.Print_Area" localSheetId="22">'N03-S04'!$A$1:$AS$202</definedName>
    <definedName name="_xlnm.Print_Area" localSheetId="24">'N03-S06'!$A$1:$AS$202</definedName>
    <definedName name="_xlnm.Print_Area" localSheetId="25">'N04-S01'!$A$1:$AS$202</definedName>
    <definedName name="_xlnm.Print_Area" localSheetId="26">'N04-S02'!$A$1:$AS$202</definedName>
    <definedName name="_xlnm.Print_Area" localSheetId="27">'N04-S03'!$A$1:$AS$202</definedName>
    <definedName name="_xlnm.Print_Area" localSheetId="28">'N04-S04'!$A$1:$AS$202</definedName>
    <definedName name="_xlnm.Print_Area" localSheetId="29">'N04-S05'!$A$1:$AS$202</definedName>
    <definedName name="_xlnm.Print_Area" localSheetId="30">'N04-S06'!$A$1:$AS$202</definedName>
    <definedName name="_xlnm.Print_Area" localSheetId="32">'N05-S01'!$A$1:$AS$202</definedName>
    <definedName name="_xlnm.Print_Area" localSheetId="33">'N05-S02'!$A$1:$AS$202</definedName>
    <definedName name="_xlnm.Print_Area" localSheetId="34">'N05-S02-1'!$A$1:$AS$202</definedName>
    <definedName name="_xlnm.Print_Area" localSheetId="35">'N05-S03'!$J$16:$AJ$77</definedName>
    <definedName name="_xlnm.Print_Area" localSheetId="36">'N05-S04'!$J$14:$AJ$72</definedName>
    <definedName name="_xlnm.Print_Area" localSheetId="37">'N05-S05'!$J$14:$AJ$77</definedName>
    <definedName name="_xlnm.Print_Area" localSheetId="38">'N05-S07'!$C$10:$AQ$52</definedName>
    <definedName name="_xlnm.Print_Area" localSheetId="18">'xN03-S03-1a'!$A$11:$AB$90</definedName>
    <definedName name="_xlnm.Print_Area" localSheetId="19">'xN03-S03-1b'!$A$1:$AS$202</definedName>
    <definedName name="_xlnm.Print_Area" localSheetId="23">'zN03-S05'!$A$1:$AS$202</definedName>
    <definedName name="PROGRAM">PROGRAMTYPE[Project Type]</definedName>
    <definedName name="PROGRESSSTATUS">#REF!</definedName>
    <definedName name="PROGRESSSTATUS_N">TEMPLATE_N!$H$4</definedName>
    <definedName name="PROGRESSSTATUS_X">#REF!</definedName>
    <definedName name="PROJECTSTATCB">'DATA TABLES'!$A$56</definedName>
    <definedName name="PROJECTSTATPAYBACK">'DATA TABLES'!$A$55</definedName>
    <definedName name="PROJECTSTATPAYBACKCUS">'DATA TABLES'!$A$58</definedName>
    <definedName name="PROJECTSTATPAYBACKRCX">'DATA TABLES'!$A$57</definedName>
    <definedName name="PROJECTTYPELIST">PROGRAMTYPE[Project Type]</definedName>
    <definedName name="PROJID">#REF!</definedName>
    <definedName name="PROJID_N">'N05-S07'!$AL$15</definedName>
    <definedName name="PROJID_X">#REF!</definedName>
    <definedName name="PROJSTATELI">'DATA TABLES'!$A$52</definedName>
    <definedName name="PROJSTATEXP">'DATA TABLES'!$A$51</definedName>
    <definedName name="PROJSTATMEASURE">'DATA TABLES'!$A$47</definedName>
    <definedName name="PROJSTATPREAPPROVE">'DATA TABLES'!$A$49</definedName>
    <definedName name="PROJSTATRES">'DATA TABLES'!$A$54</definedName>
    <definedName name="PROJSTATREVIEW">'DATA TABLES'!$A$50</definedName>
    <definedName name="PROJSTATSTANDARD">'DATA TABLES'!$A$48</definedName>
    <definedName name="PROJSTATUNDER">'DATA TABLES'!$A$53</definedName>
    <definedName name="PROJSTATUS">#REF!</definedName>
    <definedName name="PROJSTATUS_N">TEMPLATE_N!$H$3</definedName>
    <definedName name="PROJSTATUS_X">#REF!</definedName>
    <definedName name="PROJTYPELIST_N">PROJTYPE_N[New Construction Project Type]</definedName>
    <definedName name="RATECLASSLIST">RATECLASS[Rate Schedules]</definedName>
    <definedName name="RCXPROJECTCOST">#REF!</definedName>
    <definedName name="RCXTHRESH">'DATA TABLES'!$D$124</definedName>
    <definedName name="REFRIGSELECT">#REF!</definedName>
    <definedName name="SHEAT">SPACEHEAT[Space Conditioning]</definedName>
    <definedName name="SPACELPD1">'LPD Tables'!$C$11</definedName>
    <definedName name="SPACELPD2">'LPD Tables'!$C$12</definedName>
    <definedName name="SPACELPD3">'LPD Tables'!$C$13</definedName>
    <definedName name="SPACELPD4">'LPD Tables'!$C$14</definedName>
    <definedName name="SPACELPD5">'LPD Tables'!$C$15</definedName>
    <definedName name="SPACELPD6">'LPD Tables'!$C$16</definedName>
    <definedName name="SPACETYPE1">'xN03-S03-1a'!$H$16</definedName>
    <definedName name="SPACETYPE2">'xN03-S03-1a'!$W$16</definedName>
    <definedName name="SPACETYPE3">'xN03-S03-1a'!$AL$16</definedName>
    <definedName name="SPACETYPE4">'xN03-S03-1a'!$H$54</definedName>
    <definedName name="SPACETYPE5">'xN03-S03-1a'!$W$54</definedName>
    <definedName name="SPACETYPE6">'xN03-S03-1a'!$AL$54</definedName>
    <definedName name="SPACEWATT1">'xN03-S03-1a'!$M$50</definedName>
    <definedName name="SPACEWATT2">'xN03-S03-1a'!$AB$50</definedName>
    <definedName name="SPACEWATT3">'xN03-S03-1a'!$AQ$50</definedName>
    <definedName name="SPACEWATT4">'xN03-S03-1a'!$M$88</definedName>
    <definedName name="SPACEWATT5">'xN03-S03-1a'!$AB$88</definedName>
    <definedName name="SPACEWATT6">'xN03-S03-1a'!$AQ$88</definedName>
    <definedName name="SPILLOVERNUMBER">'DATA TABLES'!$A$115</definedName>
    <definedName name="SPOpts_X">#REF!</definedName>
    <definedName name="STATESABBREV">STATES[Abbrev]</definedName>
    <definedName name="STDCOMPRESSINC">#REF!</definedName>
    <definedName name="STDCOMPRESSLIST">#REF!</definedName>
    <definedName name="STDHVACEFFMIN">#REF!</definedName>
    <definedName name="STDHVACEFFMIN_N">STDHVAC_N[Base Efficiency 1]</definedName>
    <definedName name="STDHVACEFFMIN2">#REF!</definedName>
    <definedName name="STDHVACEFFMIN2_N">#REF!</definedName>
    <definedName name="STDHVACINC">#REF!</definedName>
    <definedName name="STDHVACINC_N">STDHVAC_N[Base Incentive]</definedName>
    <definedName name="STDHVACLIST">#REF!</definedName>
    <definedName name="STDHVACLIST_N">STDHVAC_N[Measure Name]</definedName>
    <definedName name="STDHVACMEASURES">#REF!</definedName>
    <definedName name="STDHVACMEASURES_N">STDHVAC_N[Measure Name]</definedName>
    <definedName name="STDHVACTONMAX">#REF!</definedName>
    <definedName name="STDHVACTONMAX_N">STDHVAC_N[Max Tons]</definedName>
    <definedName name="STDHVACTONMIN">#REF!</definedName>
    <definedName name="STDHVACTONMIN_N">STDHVAC_N[Min Tons]</definedName>
    <definedName name="STDLIGHTBASEMAX">#REF!</definedName>
    <definedName name="STDLIGHTBASEMIN">#REF!</definedName>
    <definedName name="STDLIGHTCATLIST">#REF!</definedName>
    <definedName name="STDLIGHTCONMIN" localSheetId="11">INDEX(#REF!,MATCH(#REF!,#REF!,0))</definedName>
    <definedName name="STDLIGHTCONMIN">INDEX(#REF!,MATCH(#REF!,#REF!,0))</definedName>
    <definedName name="STDLIGHTCONTINC">#REF!</definedName>
    <definedName name="STDLIGHTCONTLIST">#REF!</definedName>
    <definedName name="STDLIGHTEFFMAX">#REF!</definedName>
    <definedName name="STDLIGHTEFFMIN">#REF!</definedName>
    <definedName name="STDLIGHTINC">#REF!</definedName>
    <definedName name="STDLIGHTINEFCAT1_LIST">INDEX(#REF!,MATCH(INDEX(#REF!,MATCH(#REF!,#REF!,0)),#REF!,0),1):INDEX(#REF!,MATCH(INDEX(#REF!,MATCH(#REF!,#REF!,0)),#REF!,1),1)</definedName>
    <definedName name="STDLIGHTINEFCAT2_LIST">INDEX(#REF!,MATCH(#REF!&amp;"_"&amp;INDEX(#REF!,MATCH(#REF!,#REF!,0)),#REF!,0),1):INDEX(#REF!,MATCH(#REF!&amp;"_"&amp;INDEX(#REF!,MATCH(#REF!,#REF!,0)),#REF!,1),1)</definedName>
    <definedName name="STDLIGHTINEFCAT2DROP">#REF!</definedName>
    <definedName name="STDLIGHTINEFCAT2NAME">#REF!</definedName>
    <definedName name="STDLIGHTINEFCAT2W">#REF!</definedName>
    <definedName name="STDLIGHTLIST">#REF!</definedName>
    <definedName name="STDLIGHTMEASURELIST">INDEX(#REF!,MATCH(#REF!,#REF!,0),1):INDEX(#REF!,MATCH(#REF!,#REF!,1),1)</definedName>
    <definedName name="STDLIGHTMEASURES">#REF!</definedName>
    <definedName name="STDMOTORSHPMAX">#REF!</definedName>
    <definedName name="STDMOTORSHPMIN">#REF!</definedName>
    <definedName name="STDMOTORSINC">#REF!</definedName>
    <definedName name="STDMOTORSLIST">#REF!</definedName>
    <definedName name="STDREFRIGINC">#REF!</definedName>
    <definedName name="STDREFRIGINC_N">STDREFRIG_N[Base Incentive]</definedName>
    <definedName name="STDREFRIGLIST">#REF!</definedName>
    <definedName name="STDREFRIGLIST_N">STDREFRIG_N[Measure Name]</definedName>
    <definedName name="STDWATERINC">#REF!</definedName>
    <definedName name="STDWATERINC_N">STDWATER_N[Base Incentive]</definedName>
    <definedName name="STDWATERLIST">#REF!</definedName>
    <definedName name="STDWATERLIST_N">STDWATER_N[Measure Name]</definedName>
    <definedName name="TAXLIST">TAXENTITY[Tax Entity]</definedName>
    <definedName name="TOTALCOSTALLSTUDY">#REF!</definedName>
    <definedName name="TOTCOSTCAP">'DATA TABLES'!$D$120</definedName>
    <definedName name="TRANSFERID">MASTER!$B$4</definedName>
    <definedName name="VERSION">MASTER!$B$1</definedName>
    <definedName name="WBPCAP">'DATA TABLES'!$D$127</definedName>
    <definedName name="WBPELIGIBILENO">TEMPLATE_N!$C$193</definedName>
    <definedName name="WBPELIGIBILEYES">TEMPLATE_N!$C$192</definedName>
    <definedName name="X02S01F01">#REF!</definedName>
    <definedName name="X02S01F02">#REF!</definedName>
    <definedName name="X02S01F03">#REF!</definedName>
    <definedName name="X02S02F01">#REF!</definedName>
    <definedName name="X02S02F02">#REF!</definedName>
    <definedName name="X02S02F03">#REF!</definedName>
    <definedName name="X02S02F04">#REF!</definedName>
    <definedName name="X02S02F05">#REF!</definedName>
    <definedName name="X02S02F06">#REF!</definedName>
    <definedName name="X02S02F07">#REF!</definedName>
    <definedName name="X02S02F08">#REF!</definedName>
    <definedName name="X02S02F09">#REF!</definedName>
    <definedName name="X02S02F10">#REF!</definedName>
    <definedName name="X02S02F11">#REF!</definedName>
    <definedName name="X02S02F12">#REF!</definedName>
    <definedName name="X02S02F13">#REF!</definedName>
    <definedName name="X02S02F14">#REF!</definedName>
    <definedName name="X02S02F15">#REF!</definedName>
    <definedName name="X02S02F16">#REF!</definedName>
    <definedName name="X02S02F17">#REF!</definedName>
    <definedName name="X02S02F18">#REF!</definedName>
    <definedName name="X02S02F19">#REF!</definedName>
    <definedName name="X02S02F20">#REF!</definedName>
    <definedName name="X02S02F21">#REF!</definedName>
    <definedName name="X02S02F22">#REF!</definedName>
    <definedName name="X02S02F23">#REF!</definedName>
    <definedName name="X02S02F24">#REF!</definedName>
    <definedName name="X02S02F25">#REF!</definedName>
    <definedName name="X02S02F26">#REF!</definedName>
    <definedName name="X02S02F27">#REF!</definedName>
    <definedName name="X02S02F28">#REF!</definedName>
    <definedName name="X02S02F29">#REF!</definedName>
    <definedName name="X02S02F30">#REF!</definedName>
    <definedName name="X02S02F31">#REF!</definedName>
    <definedName name="X02S02F32">#REF!</definedName>
    <definedName name="X02S02F33">#REF!</definedName>
    <definedName name="X02S03F01">#REF!</definedName>
    <definedName name="X02S03F02">#REF!</definedName>
    <definedName name="X02S03F03">#REF!</definedName>
    <definedName name="X02S03F04">#REF!</definedName>
    <definedName name="X02S03F05">#REF!</definedName>
    <definedName name="X02S03F06">#REF!</definedName>
    <definedName name="X02S03F07">#REF!</definedName>
    <definedName name="X02S03F08">#REF!</definedName>
    <definedName name="X02S03F09">#REF!</definedName>
    <definedName name="X02S03F10">#REF!</definedName>
    <definedName name="X02S03F11">#REF!</definedName>
    <definedName name="X02S03F12">#REF!</definedName>
    <definedName name="X02S03F13">#REF!</definedName>
    <definedName name="X02S03F14">#REF!</definedName>
    <definedName name="X02S03F15">#REF!</definedName>
    <definedName name="X02S03F16">#REF!</definedName>
    <definedName name="X02S03F17">#REF!</definedName>
    <definedName name="X02S03F18">#REF!</definedName>
    <definedName name="X02S03F19">#REF!</definedName>
    <definedName name="X02S03F20">#REF!</definedName>
    <definedName name="X02S03F21">#REF!</definedName>
    <definedName name="X02S03F22">#REF!</definedName>
    <definedName name="X02S03F23">#REF!</definedName>
    <definedName name="X02S03F24">#REF!</definedName>
    <definedName name="X02S03F25">#REF!</definedName>
    <definedName name="X02S03F26">#REF!</definedName>
    <definedName name="X02S03F27">#REF!</definedName>
    <definedName name="X02S03F28">#REF!</definedName>
    <definedName name="X02S03F29">#REF!</definedName>
    <definedName name="X02S03F30">#REF!</definedName>
    <definedName name="X02S03F31">#REF!</definedName>
    <definedName name="X02S03F32">#REF!</definedName>
    <definedName name="X02S03F33">#REF!</definedName>
    <definedName name="X02S03F34">#REF!</definedName>
    <definedName name="X02S04F01">#REF!</definedName>
    <definedName name="X02S04F02">#REF!</definedName>
    <definedName name="X02S04F03">#REF!</definedName>
    <definedName name="X02S04F04">#REF!</definedName>
    <definedName name="X02S04F05">#REF!</definedName>
    <definedName name="X02S04F06">#REF!</definedName>
    <definedName name="X02S04F07">#REF!</definedName>
    <definedName name="X02S04F08">#REF!</definedName>
    <definedName name="X02S04F09">#REF!</definedName>
    <definedName name="X03S02TB1">#REF!</definedName>
    <definedName name="X03S02TB2">#REF!</definedName>
    <definedName name="X03S02TB3">#REF!</definedName>
    <definedName name="X03S04AF01">#REF!</definedName>
    <definedName name="X03S04AF02">#REF!</definedName>
    <definedName name="X03S04AF03">#REF!</definedName>
    <definedName name="X03S04AF04">#REF!</definedName>
    <definedName name="X03S04AF05">#REF!</definedName>
    <definedName name="X03S04AF06">#REF!</definedName>
    <definedName name="X03S04AF07">#REF!</definedName>
    <definedName name="X05S01F01">#REF!</definedName>
    <definedName name="X05S01F02">#REF!</definedName>
    <definedName name="X05S01F03">#REF!</definedName>
    <definedName name="X05S01F04">#REF!</definedName>
    <definedName name="X05S01F05">#REF!</definedName>
    <definedName name="X05S01F06">#REF!</definedName>
    <definedName name="X05S01F07">#REF!</definedName>
    <definedName name="X05S01F08">#REF!</definedName>
    <definedName name="X05S01F09">#REF!</definedName>
    <definedName name="X05S01F10">#REF!</definedName>
    <definedName name="X05S01F11">#REF!</definedName>
    <definedName name="X05S01F12">#REF!</definedName>
    <definedName name="X05S01F13">#REF!</definedName>
    <definedName name="X05S01F14">#REF!</definedName>
    <definedName name="X05S01F15">#REF!</definedName>
    <definedName name="X05S04F01">#REF!</definedName>
    <definedName name="X05S04F02">#REF!</definedName>
    <definedName name="X05S04F03">#REF!</definedName>
    <definedName name="X05S04F04">#REF!</definedName>
    <definedName name="X05S05F01">#REF!</definedName>
    <definedName name="X05S05F02">#REF!</definedName>
    <definedName name="X05S07F02">#REF!</definedName>
    <definedName name="X05S07F03">#REF!</definedName>
    <definedName name="X05S07F04">#REF!</definedName>
    <definedName name="X05S07F05">#REF!</definedName>
    <definedName name="X05S07F06">#REF!</definedName>
    <definedName name="X05S07F07">#REF!</definedName>
    <definedName name="X05S07F08">#REF!</definedName>
    <definedName name="X05S07F09">#REF!</definedName>
    <definedName name="X05S07F10">#REF!</definedName>
    <definedName name="X1S1">#REF!</definedName>
    <definedName name="X1S2">#REF!</definedName>
    <definedName name="X1S3">#REF!</definedName>
    <definedName name="X1S4">#REF!</definedName>
    <definedName name="X1S5">#REF!</definedName>
    <definedName name="X1S6">#REF!</definedName>
    <definedName name="X1S7">#REF!</definedName>
    <definedName name="X1S8">#REF!</definedName>
    <definedName name="X2S1">#REF!</definedName>
    <definedName name="X2S2">#REF!</definedName>
    <definedName name="X2S3">#REF!</definedName>
    <definedName name="X2S4">#REF!</definedName>
    <definedName name="X2S5">#REF!</definedName>
    <definedName name="X2S6">#REF!</definedName>
    <definedName name="X2S7">#REF!</definedName>
    <definedName name="X2S8">#REF!</definedName>
    <definedName name="X3S1">#REF!</definedName>
    <definedName name="X3S2">#REF!</definedName>
    <definedName name="X3S2UNITCHECK">#REF!</definedName>
    <definedName name="X3S3">#REF!</definedName>
    <definedName name="X3S3UNITCHECK">#REF!</definedName>
    <definedName name="X3S4">#REF!</definedName>
    <definedName name="X3S4UNITCHECK">#REF!</definedName>
    <definedName name="X3S5">#REF!</definedName>
    <definedName name="X3S6">#REF!</definedName>
    <definedName name="X3S7">#REF!</definedName>
    <definedName name="X3S8">#REF!</definedName>
    <definedName name="X4S1">#REF!</definedName>
    <definedName name="X4S2">#REF!</definedName>
    <definedName name="X4S3">#REF!</definedName>
    <definedName name="X4S4">#REF!</definedName>
    <definedName name="X4S5">#REF!</definedName>
    <definedName name="X4S6">#REF!</definedName>
    <definedName name="X4S7">#REF!</definedName>
    <definedName name="X4S8">#REF!</definedName>
    <definedName name="X4S9">#REF!</definedName>
    <definedName name="X5S1">#REF!</definedName>
    <definedName name="X5S2">#REF!</definedName>
    <definedName name="X5S3">#REF!</definedName>
    <definedName name="X5S4">#REF!</definedName>
    <definedName name="X5S5">#REF!</definedName>
    <definedName name="X5S6">#REF!</definedName>
    <definedName name="X5S7">#REF!</definedName>
    <definedName name="X5S8">#REF!</definedName>
    <definedName name="X6S1">#REF!</definedName>
    <definedName name="X6S10">#REF!</definedName>
    <definedName name="X6S11">#REF!</definedName>
    <definedName name="X6S12">#REF!</definedName>
    <definedName name="X6S13">#REF!</definedName>
    <definedName name="X6S14">#REF!</definedName>
    <definedName name="X6S15">#REF!</definedName>
    <definedName name="X6S16">#REF!</definedName>
    <definedName name="X6S17">#REF!</definedName>
    <definedName name="X6S2">#REF!</definedName>
    <definedName name="X6S3">#REF!</definedName>
    <definedName name="X6S4">#REF!</definedName>
    <definedName name="X6S5">#REF!</definedName>
    <definedName name="X6S6">#REF!</definedName>
    <definedName name="X6S7">#REF!</definedName>
    <definedName name="X6S8">#REF!</definedName>
    <definedName name="X6S9">#REF!</definedName>
    <definedName name="XBOPT">#REF!</definedName>
    <definedName name="XBOPTDESC1">#REF!</definedName>
    <definedName name="XBOPTDESC2">#REF!</definedName>
    <definedName name="XBOPTENDUSE">#REF!</definedName>
    <definedName name="XBOPTEUL">#REF!</definedName>
    <definedName name="XBOPTMN">#REF!</definedName>
    <definedName name="XBOPTUNIT">#REF!</definedName>
    <definedName name="XCOMPAIR">#REF!</definedName>
    <definedName name="XCOMPAIRDESC1">#REF!</definedName>
    <definedName name="XCOMPAIRDESC2">#REF!</definedName>
    <definedName name="XCOMPAIRENDUSE">#REF!</definedName>
    <definedName name="XCOMPAIREUL">#REF!</definedName>
    <definedName name="XCOMPAIRMN">#REF!</definedName>
    <definedName name="XCOMPAIRUNIT">#REF!</definedName>
    <definedName name="XREFR">#REF!</definedName>
    <definedName name="XREFRDESC1">#REF!</definedName>
    <definedName name="XREFRDESC2">#REF!</definedName>
    <definedName name="XREFRENDUSE">#REF!</definedName>
    <definedName name="XREFREUL">#REF!</definedName>
    <definedName name="XREFRMN">#REF!</definedName>
    <definedName name="XREFRUNIT">#REF!</definedName>
    <definedName name="YESNOLIST">YESNO[Options]</definedName>
    <definedName name="ZIPCODES">INDEX(CITYCOUNTYCODES[ZIP Code],MATCH(M02S04F09,CITYCOUNTYCODES[City],0),1):INDEX(CITYCOUNTYCODES[ZIP Code],MATCH(M02S04F09,CITYCOUNTYCODES[City],1),1)</definedName>
    <definedName name="ZIPCODES_N">INDEX(CITYCOUNTYCODES[ZIP Code],MATCH(N02S03F17,CITYCOUNTYCODES[City],0),1):INDEX(CITYCOUNTYCODES[ZIP Code],MATCH(N02S03F17,CITYCOUNTYCODES[City],1),1)</definedName>
    <definedName name="ZIPCODES_X">INDEX(CITYCOUNTYCODES[ZIP Code],MATCH(X02S03F26,CITYCOUNTYCODES[City],0),1):INDEX(CITYCOUNTYCODES[ZIP Code],MATCH(X02S03F26,CITYCOUNTYCODES[City],1),1)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4" i="214" l="1"/>
  <c r="T18" i="237"/>
  <c r="T20" i="237"/>
  <c r="T22" i="237"/>
  <c r="T24" i="237"/>
  <c r="T26" i="237"/>
  <c r="T28" i="237"/>
  <c r="T30" i="237"/>
  <c r="T32" i="237"/>
  <c r="T34" i="237"/>
  <c r="T36" i="237"/>
  <c r="T38" i="237"/>
  <c r="T40" i="237"/>
  <c r="T42" i="237"/>
  <c r="T44" i="237"/>
  <c r="T46" i="237"/>
  <c r="T48" i="237"/>
  <c r="T50" i="237"/>
  <c r="T52" i="237"/>
  <c r="T54" i="237"/>
  <c r="T56" i="237"/>
  <c r="T58" i="237"/>
  <c r="T60" i="237"/>
  <c r="T62" i="237"/>
  <c r="BG28" i="237" l="1"/>
  <c r="BG40" i="237"/>
  <c r="BG46" i="237"/>
  <c r="BG52" i="237"/>
  <c r="BG58" i="237"/>
  <c r="BG64" i="237"/>
  <c r="BG66" i="237"/>
  <c r="BG68" i="237"/>
  <c r="BG70" i="237"/>
  <c r="BG72" i="237"/>
  <c r="BG74" i="237"/>
  <c r="BG76" i="237"/>
  <c r="BG78" i="237"/>
  <c r="BG80" i="237"/>
  <c r="BG82" i="237"/>
  <c r="BG84" i="237"/>
  <c r="BG86" i="237"/>
  <c r="K50" i="108" l="1"/>
  <c r="K51" i="108" s="1"/>
  <c r="K52" i="108" s="1"/>
  <c r="K53" i="108" s="1"/>
  <c r="K54" i="108" s="1"/>
  <c r="K55" i="108" s="1"/>
  <c r="K56" i="108" s="1"/>
  <c r="K57" i="108" s="1"/>
  <c r="K58" i="108" s="1"/>
  <c r="K59" i="108" s="1"/>
  <c r="K60" i="108" s="1"/>
  <c r="K61" i="108" s="1"/>
  <c r="K62" i="108" s="1"/>
  <c r="K63" i="108" s="1"/>
  <c r="K64" i="108" s="1"/>
  <c r="K65" i="108" s="1"/>
  <c r="K66" i="108" s="1"/>
  <c r="K67" i="108" s="1"/>
  <c r="K68" i="108" s="1"/>
  <c r="K69" i="108" s="1"/>
  <c r="K70" i="108" s="1"/>
  <c r="K71" i="108" s="1"/>
  <c r="K72" i="108" s="1"/>
  <c r="K73" i="108" s="1"/>
  <c r="K74" i="108" s="1"/>
  <c r="E54" i="108"/>
  <c r="E55" i="108"/>
  <c r="E56" i="108"/>
  <c r="E57" i="108"/>
  <c r="E58" i="108"/>
  <c r="E59" i="108"/>
  <c r="E60" i="108"/>
  <c r="E61" i="108"/>
  <c r="E62" i="108"/>
  <c r="E63" i="108"/>
  <c r="E64" i="108"/>
  <c r="E65" i="108"/>
  <c r="E66" i="108"/>
  <c r="E67" i="108"/>
  <c r="E68" i="108"/>
  <c r="E69" i="108"/>
  <c r="E70" i="108"/>
  <c r="E71" i="108"/>
  <c r="E72" i="108"/>
  <c r="E73" i="108"/>
  <c r="E74" i="108"/>
  <c r="E75" i="108"/>
  <c r="E76" i="108"/>
  <c r="E77" i="108"/>
  <c r="E53" i="108"/>
  <c r="N50" i="108" s="1"/>
  <c r="N51" i="108" l="1"/>
  <c r="N52" i="108" s="1"/>
  <c r="N53" i="108" s="1"/>
  <c r="N54" i="108" s="1"/>
  <c r="N55" i="108" s="1"/>
  <c r="N56" i="108" s="1"/>
  <c r="N57" i="108" s="1"/>
  <c r="N58" i="108" s="1"/>
  <c r="N59" i="108" s="1"/>
  <c r="N60" i="108" s="1"/>
  <c r="N61" i="108" s="1"/>
  <c r="N62" i="108" s="1"/>
  <c r="N63" i="108" s="1"/>
  <c r="N64" i="108" s="1"/>
  <c r="N65" i="108" s="1"/>
  <c r="N66" i="108" s="1"/>
  <c r="N67" i="108" s="1"/>
  <c r="N68" i="108" s="1"/>
  <c r="N69" i="108" s="1"/>
  <c r="N70" i="108" s="1"/>
  <c r="N71" i="108" s="1"/>
  <c r="N72" i="108" s="1"/>
  <c r="N73" i="108" s="1"/>
  <c r="N74" i="108" s="1"/>
  <c r="BF28" i="237"/>
  <c r="BF40" i="237"/>
  <c r="BF46" i="237"/>
  <c r="BF52" i="237"/>
  <c r="BF58" i="237"/>
  <c r="BF64" i="237"/>
  <c r="BF66" i="237"/>
  <c r="BF68" i="237"/>
  <c r="BF70" i="237"/>
  <c r="BF72" i="237"/>
  <c r="BF74" i="237"/>
  <c r="BF76" i="237"/>
  <c r="BF78" i="237"/>
  <c r="BF80" i="237"/>
  <c r="BF82" i="237"/>
  <c r="BF84" i="237"/>
  <c r="BF86" i="237"/>
  <c r="P24" i="221"/>
  <c r="P22" i="221"/>
  <c r="P21" i="221"/>
  <c r="P20" i="221"/>
  <c r="P19" i="221"/>
  <c r="P18" i="221"/>
  <c r="P17" i="221"/>
  <c r="P15" i="221"/>
  <c r="P14" i="221"/>
  <c r="P13" i="221"/>
  <c r="O15" i="221"/>
  <c r="O14" i="221"/>
  <c r="K10" i="221" l="1"/>
  <c r="AS71" i="244"/>
  <c r="AS72" i="244"/>
  <c r="AS73" i="244"/>
  <c r="AS74" i="244"/>
  <c r="AS75" i="244"/>
  <c r="AS76" i="244"/>
  <c r="AS77" i="244"/>
  <c r="AS78" i="244"/>
  <c r="AS79" i="244"/>
  <c r="AS80" i="244"/>
  <c r="AS81" i="244"/>
  <c r="AS82" i="244"/>
  <c r="AS83" i="244"/>
  <c r="AS84" i="244"/>
  <c r="AS70" i="244"/>
  <c r="V80" i="244"/>
  <c r="V81" i="244"/>
  <c r="V82" i="244"/>
  <c r="V83" i="244"/>
  <c r="V84" i="244"/>
  <c r="K71" i="244"/>
  <c r="K72" i="244"/>
  <c r="K73" i="244"/>
  <c r="K74" i="244"/>
  <c r="K75" i="244"/>
  <c r="K76" i="244"/>
  <c r="K77" i="244"/>
  <c r="K78" i="244"/>
  <c r="K79" i="244"/>
  <c r="K80" i="244"/>
  <c r="K81" i="244"/>
  <c r="K82" i="244"/>
  <c r="K83" i="244"/>
  <c r="K84" i="244"/>
  <c r="K70" i="244"/>
  <c r="J71" i="244"/>
  <c r="J72" i="244"/>
  <c r="J73" i="244"/>
  <c r="J74" i="244"/>
  <c r="J75" i="244"/>
  <c r="J76" i="244"/>
  <c r="J77" i="244"/>
  <c r="J78" i="244"/>
  <c r="J79" i="244"/>
  <c r="J80" i="244"/>
  <c r="J81" i="244"/>
  <c r="J82" i="244"/>
  <c r="J83" i="244"/>
  <c r="J84" i="244"/>
  <c r="J70" i="244"/>
  <c r="I71" i="244"/>
  <c r="I72" i="244"/>
  <c r="I73" i="244"/>
  <c r="I74" i="244"/>
  <c r="I75" i="244"/>
  <c r="I76" i="244"/>
  <c r="I77" i="244"/>
  <c r="I78" i="244"/>
  <c r="I79" i="244"/>
  <c r="I80" i="244"/>
  <c r="I81" i="244"/>
  <c r="I82" i="244"/>
  <c r="I83" i="244"/>
  <c r="I84" i="244"/>
  <c r="I70" i="244"/>
  <c r="AS55" i="244"/>
  <c r="AS56" i="244"/>
  <c r="AS57" i="244"/>
  <c r="AS58" i="244"/>
  <c r="AS59" i="244"/>
  <c r="AS60" i="244"/>
  <c r="AS61" i="244"/>
  <c r="AS62" i="244"/>
  <c r="AS63" i="244"/>
  <c r="AS64" i="244"/>
  <c r="AS65" i="244"/>
  <c r="AS66" i="244"/>
  <c r="AS67" i="244"/>
  <c r="AS68" i="244"/>
  <c r="AS54" i="244"/>
  <c r="V64" i="244"/>
  <c r="V65" i="244"/>
  <c r="V66" i="244"/>
  <c r="V67" i="244"/>
  <c r="V68" i="244"/>
  <c r="K55" i="244"/>
  <c r="K56" i="244"/>
  <c r="K57" i="244"/>
  <c r="K58" i="244"/>
  <c r="K59" i="244"/>
  <c r="K60" i="244"/>
  <c r="K61" i="244"/>
  <c r="K62" i="244"/>
  <c r="K63" i="244"/>
  <c r="K64" i="244"/>
  <c r="K65" i="244"/>
  <c r="K66" i="244"/>
  <c r="K67" i="244"/>
  <c r="K68" i="244"/>
  <c r="K54" i="244"/>
  <c r="J55" i="244"/>
  <c r="J56" i="244"/>
  <c r="J57" i="244"/>
  <c r="J58" i="244"/>
  <c r="J59" i="244"/>
  <c r="J60" i="244"/>
  <c r="J61" i="244"/>
  <c r="J62" i="244"/>
  <c r="J63" i="244"/>
  <c r="J64" i="244"/>
  <c r="J65" i="244"/>
  <c r="J66" i="244"/>
  <c r="J67" i="244"/>
  <c r="J68" i="244"/>
  <c r="J54" i="244"/>
  <c r="I55" i="244"/>
  <c r="I56" i="244"/>
  <c r="I57" i="244"/>
  <c r="I58" i="244"/>
  <c r="I59" i="244"/>
  <c r="I60" i="244"/>
  <c r="I61" i="244"/>
  <c r="I62" i="244"/>
  <c r="I63" i="244"/>
  <c r="I64" i="244"/>
  <c r="I65" i="244"/>
  <c r="I66" i="244"/>
  <c r="I67" i="244"/>
  <c r="I68" i="244"/>
  <c r="I54" i="244"/>
  <c r="J19" i="244"/>
  <c r="J20" i="244"/>
  <c r="J21" i="244"/>
  <c r="J22" i="244"/>
  <c r="J23" i="244"/>
  <c r="J24" i="244"/>
  <c r="J25" i="244"/>
  <c r="J26" i="244"/>
  <c r="J27" i="244"/>
  <c r="J28" i="244"/>
  <c r="J29" i="244"/>
  <c r="J30" i="244"/>
  <c r="J31" i="244"/>
  <c r="J32" i="244"/>
  <c r="J33" i="244"/>
  <c r="J34" i="244"/>
  <c r="J35" i="244"/>
  <c r="J36" i="244"/>
  <c r="J37" i="244"/>
  <c r="J38" i="244"/>
  <c r="J39" i="244"/>
  <c r="J40" i="244"/>
  <c r="J41" i="244"/>
  <c r="J42" i="244"/>
  <c r="J43" i="244"/>
  <c r="J44" i="244"/>
  <c r="J45" i="244"/>
  <c r="J46" i="244"/>
  <c r="J47" i="244"/>
  <c r="J48" i="244"/>
  <c r="J49" i="244"/>
  <c r="J50" i="244"/>
  <c r="J51" i="244"/>
  <c r="J52" i="244"/>
  <c r="J18" i="244"/>
  <c r="K19" i="244"/>
  <c r="K20" i="244"/>
  <c r="K21" i="244"/>
  <c r="K22" i="244"/>
  <c r="K23" i="244"/>
  <c r="K24" i="244"/>
  <c r="K25" i="244"/>
  <c r="K26" i="244"/>
  <c r="K27" i="244"/>
  <c r="K28" i="244"/>
  <c r="K29" i="244"/>
  <c r="K30" i="244"/>
  <c r="K31" i="244"/>
  <c r="K32" i="244"/>
  <c r="K33" i="244"/>
  <c r="K34" i="244"/>
  <c r="K35" i="244"/>
  <c r="K36" i="244"/>
  <c r="K37" i="244"/>
  <c r="K38" i="244"/>
  <c r="K39" i="244"/>
  <c r="K40" i="244"/>
  <c r="K41" i="244"/>
  <c r="K42" i="244"/>
  <c r="K43" i="244"/>
  <c r="K44" i="244"/>
  <c r="K45" i="244"/>
  <c r="K46" i="244"/>
  <c r="K47" i="244"/>
  <c r="K48" i="244"/>
  <c r="K49" i="244"/>
  <c r="K50" i="244"/>
  <c r="K51" i="244"/>
  <c r="K52" i="244"/>
  <c r="K18" i="244"/>
  <c r="AP1" i="209"/>
  <c r="AL1" i="209"/>
  <c r="J1" i="209"/>
  <c r="F1" i="209"/>
  <c r="AP1" i="208"/>
  <c r="AL1" i="208"/>
  <c r="J1" i="208"/>
  <c r="F1" i="208"/>
  <c r="AP1" i="207"/>
  <c r="AL1" i="207"/>
  <c r="J1" i="207"/>
  <c r="F1" i="207"/>
  <c r="AP1" i="220"/>
  <c r="AL1" i="220"/>
  <c r="J1" i="220"/>
  <c r="F1" i="220"/>
  <c r="AP1" i="219"/>
  <c r="AL1" i="219"/>
  <c r="J1" i="219"/>
  <c r="F1" i="219"/>
  <c r="AP1" i="218"/>
  <c r="AL1" i="218"/>
  <c r="J1" i="218"/>
  <c r="F1" i="218"/>
  <c r="AP1" i="217"/>
  <c r="AL1" i="217"/>
  <c r="J1" i="217"/>
  <c r="F1" i="217"/>
  <c r="AP1" i="235"/>
  <c r="AL1" i="235"/>
  <c r="J1" i="235"/>
  <c r="F1" i="235"/>
  <c r="AP1" i="234"/>
  <c r="AL1" i="234"/>
  <c r="J1" i="234"/>
  <c r="F1" i="234"/>
  <c r="AP1" i="233"/>
  <c r="AL1" i="233"/>
  <c r="J1" i="233"/>
  <c r="F1" i="233"/>
  <c r="AP1" i="229"/>
  <c r="AL1" i="229"/>
  <c r="J1" i="229"/>
  <c r="F1" i="229"/>
  <c r="AP1" i="232"/>
  <c r="AL1" i="232"/>
  <c r="J1" i="232"/>
  <c r="F1" i="232"/>
  <c r="AP1" i="231"/>
  <c r="AL1" i="231"/>
  <c r="J1" i="231"/>
  <c r="F1" i="231"/>
  <c r="AP1" i="230"/>
  <c r="AL1" i="230"/>
  <c r="J1" i="230"/>
  <c r="F1" i="230"/>
  <c r="AP1" i="240"/>
  <c r="AL1" i="240"/>
  <c r="J1" i="240"/>
  <c r="F1" i="240"/>
  <c r="AP1" i="236"/>
  <c r="AL1" i="236"/>
  <c r="J1" i="236"/>
  <c r="F1" i="236"/>
  <c r="AP1" i="237"/>
  <c r="AL1" i="237"/>
  <c r="J1" i="237"/>
  <c r="F1" i="237"/>
  <c r="AP1" i="242"/>
  <c r="AL1" i="242"/>
  <c r="J1" i="242"/>
  <c r="F1" i="242"/>
  <c r="AP1" i="243"/>
  <c r="AL1" i="243"/>
  <c r="J1" i="243"/>
  <c r="F1" i="243"/>
  <c r="AP1" i="226"/>
  <c r="AL1" i="226"/>
  <c r="J1" i="226"/>
  <c r="F1" i="226"/>
  <c r="AP1" i="225"/>
  <c r="AL1" i="225"/>
  <c r="J1" i="225"/>
  <c r="F1" i="225"/>
  <c r="AP1" i="227"/>
  <c r="AL1" i="227"/>
  <c r="J1" i="227"/>
  <c r="F1" i="227"/>
  <c r="AP1" i="216"/>
  <c r="AL1" i="216"/>
  <c r="J1" i="216"/>
  <c r="F1" i="216"/>
  <c r="AP1" i="215"/>
  <c r="AL1" i="215"/>
  <c r="J1" i="215"/>
  <c r="F1" i="215"/>
  <c r="AP1" i="214"/>
  <c r="AL1" i="214"/>
  <c r="J1" i="214"/>
  <c r="F1" i="214"/>
  <c r="AP1" i="213"/>
  <c r="AL1" i="213"/>
  <c r="J1" i="213"/>
  <c r="F1" i="213"/>
  <c r="AP1" i="212"/>
  <c r="AL1" i="212"/>
  <c r="J1" i="212"/>
  <c r="F1" i="212"/>
  <c r="M16" i="109" l="1"/>
  <c r="L16" i="109"/>
  <c r="K16" i="109"/>
  <c r="J24" i="109" a="1"/>
  <c r="J24" i="109" s="1"/>
  <c r="M24" i="109" s="1"/>
  <c r="J20" i="109" a="1"/>
  <c r="J20" i="109" s="1"/>
  <c r="L20" i="109" s="1"/>
  <c r="J16" i="109" a="1"/>
  <c r="J16" i="109" s="1"/>
  <c r="J76" i="208"/>
  <c r="J71" i="207"/>
  <c r="J60" i="207"/>
  <c r="AA73" i="220"/>
  <c r="AC8" i="246"/>
  <c r="D2" i="109"/>
  <c r="K12" i="109"/>
  <c r="M12" i="109"/>
  <c r="L12" i="109"/>
  <c r="L24" i="109" l="1"/>
  <c r="K20" i="109"/>
  <c r="M20" i="109"/>
  <c r="K24" i="109"/>
  <c r="J20" i="237"/>
  <c r="J22" i="237"/>
  <c r="J24" i="237"/>
  <c r="J26" i="237"/>
  <c r="J28" i="237"/>
  <c r="J30" i="237"/>
  <c r="J32" i="237"/>
  <c r="J34" i="237"/>
  <c r="J36" i="237"/>
  <c r="J38" i="237"/>
  <c r="J40" i="237"/>
  <c r="J42" i="237"/>
  <c r="J44" i="237"/>
  <c r="J46" i="237"/>
  <c r="J48" i="237"/>
  <c r="J50" i="237"/>
  <c r="J52" i="237"/>
  <c r="J54" i="237"/>
  <c r="J56" i="237"/>
  <c r="J58" i="237"/>
  <c r="J60" i="237"/>
  <c r="J62" i="237"/>
  <c r="J64" i="237"/>
  <c r="J66" i="237"/>
  <c r="J68" i="237"/>
  <c r="J70" i="237"/>
  <c r="J72" i="237"/>
  <c r="J74" i="237"/>
  <c r="J76" i="237"/>
  <c r="J78" i="237"/>
  <c r="J80" i="237"/>
  <c r="J82" i="237"/>
  <c r="J84" i="237"/>
  <c r="J86" i="237"/>
  <c r="J18" i="237"/>
  <c r="H54" i="241" l="1"/>
  <c r="BS20" i="237"/>
  <c r="BS22" i="237"/>
  <c r="BS24" i="237"/>
  <c r="BS26" i="237"/>
  <c r="BS28" i="237"/>
  <c r="BS30" i="237"/>
  <c r="BS32" i="237"/>
  <c r="BS34" i="237"/>
  <c r="BS36" i="237"/>
  <c r="BS38" i="237"/>
  <c r="BS40" i="237"/>
  <c r="BS42" i="237"/>
  <c r="BS44" i="237"/>
  <c r="BS46" i="237"/>
  <c r="BS48" i="237"/>
  <c r="BS50" i="237"/>
  <c r="BS52" i="237"/>
  <c r="BS54" i="237"/>
  <c r="BS56" i="237"/>
  <c r="BS58" i="237"/>
  <c r="BS60" i="237"/>
  <c r="BS62" i="237"/>
  <c r="BS64" i="237"/>
  <c r="BS66" i="237"/>
  <c r="BS68" i="237"/>
  <c r="BS70" i="237"/>
  <c r="BS72" i="237"/>
  <c r="BS74" i="237"/>
  <c r="BS76" i="237"/>
  <c r="BS78" i="237"/>
  <c r="BS80" i="237"/>
  <c r="BS82" i="237"/>
  <c r="BS84" i="237"/>
  <c r="BS86" i="237"/>
  <c r="BS18" i="237"/>
  <c r="B3" i="247" a="1"/>
  <c r="B3" i="247" s="1"/>
  <c r="L13" i="221" l="1"/>
  <c r="A4" i="246" l="1"/>
  <c r="J1" i="246"/>
  <c r="F1" i="246"/>
  <c r="L28" i="237" l="1"/>
  <c r="L40" i="237"/>
  <c r="L46" i="237"/>
  <c r="L52" i="237"/>
  <c r="L58" i="237"/>
  <c r="L64" i="237"/>
  <c r="L66" i="237"/>
  <c r="L68" i="237"/>
  <c r="L70" i="237"/>
  <c r="L72" i="237"/>
  <c r="L74" i="237"/>
  <c r="L76" i="237"/>
  <c r="L78" i="237"/>
  <c r="L80" i="237"/>
  <c r="L82" i="237"/>
  <c r="L84" i="237"/>
  <c r="L86" i="237"/>
  <c r="B6" i="247" l="1"/>
  <c r="AN20" i="234"/>
  <c r="AN22" i="234"/>
  <c r="AN24" i="234"/>
  <c r="AN18" i="234"/>
  <c r="AN20" i="233"/>
  <c r="AN22" i="233"/>
  <c r="AN24" i="233"/>
  <c r="AN26" i="233"/>
  <c r="AN28" i="233"/>
  <c r="AN30" i="233"/>
  <c r="AN32" i="233"/>
  <c r="AN34" i="233"/>
  <c r="AN36" i="233"/>
  <c r="AN18" i="233"/>
  <c r="AN20" i="229"/>
  <c r="AN22" i="229"/>
  <c r="AN24" i="229"/>
  <c r="AN26" i="229"/>
  <c r="AN28" i="229"/>
  <c r="AN30" i="229"/>
  <c r="AN32" i="229"/>
  <c r="AN34" i="229"/>
  <c r="AN36" i="229"/>
  <c r="AN18" i="229"/>
  <c r="AN20" i="232"/>
  <c r="AN22" i="232"/>
  <c r="AN24" i="232"/>
  <c r="AN26" i="232"/>
  <c r="AN28" i="232"/>
  <c r="AN30" i="232"/>
  <c r="AN32" i="232"/>
  <c r="AN34" i="232"/>
  <c r="AN36" i="232"/>
  <c r="AN18" i="232"/>
  <c r="AN20" i="231"/>
  <c r="AN22" i="231"/>
  <c r="AN24" i="231"/>
  <c r="AN26" i="231"/>
  <c r="AN28" i="231"/>
  <c r="AN30" i="231"/>
  <c r="AN32" i="231"/>
  <c r="AN34" i="231"/>
  <c r="AN36" i="231"/>
  <c r="AN18" i="231"/>
  <c r="AN20" i="230"/>
  <c r="AN22" i="230"/>
  <c r="AN24" i="230"/>
  <c r="AN26" i="230"/>
  <c r="AN28" i="230"/>
  <c r="AN30" i="230"/>
  <c r="AN32" i="230"/>
  <c r="AN34" i="230"/>
  <c r="AN36" i="230"/>
  <c r="AN18" i="230"/>
  <c r="AM20" i="240" l="1"/>
  <c r="AM22" i="240"/>
  <c r="AM24" i="240"/>
  <c r="AM26" i="240"/>
  <c r="AM28" i="240"/>
  <c r="AM30" i="240"/>
  <c r="AM32" i="240"/>
  <c r="AM34" i="240"/>
  <c r="AM36" i="240"/>
  <c r="AM18" i="240"/>
  <c r="AM20" i="236"/>
  <c r="AM22" i="236"/>
  <c r="AM24" i="236"/>
  <c r="AM26" i="236"/>
  <c r="AM28" i="236"/>
  <c r="AM30" i="236"/>
  <c r="AM32" i="236"/>
  <c r="AM34" i="236"/>
  <c r="AM36" i="236"/>
  <c r="AM18" i="236"/>
  <c r="AM20" i="237"/>
  <c r="AM22" i="237"/>
  <c r="AM24" i="237"/>
  <c r="AM26" i="237"/>
  <c r="AM28" i="237"/>
  <c r="AM30" i="237"/>
  <c r="AM32" i="237"/>
  <c r="AM34" i="237"/>
  <c r="AM36" i="237"/>
  <c r="AM38" i="237"/>
  <c r="AM40" i="237"/>
  <c r="AM42" i="237"/>
  <c r="AM44" i="237"/>
  <c r="AM46" i="237"/>
  <c r="AM48" i="237"/>
  <c r="AM50" i="237"/>
  <c r="AM52" i="237"/>
  <c r="AM54" i="237"/>
  <c r="AM56" i="237"/>
  <c r="AM58" i="237"/>
  <c r="AM60" i="237"/>
  <c r="AM62" i="237"/>
  <c r="AM64" i="237"/>
  <c r="AM66" i="237"/>
  <c r="AM68" i="237"/>
  <c r="AM70" i="237"/>
  <c r="AM72" i="237"/>
  <c r="AM74" i="237"/>
  <c r="AM76" i="237"/>
  <c r="AM78" i="237"/>
  <c r="AM80" i="237"/>
  <c r="AM82" i="237"/>
  <c r="AM84" i="237"/>
  <c r="AM86" i="237"/>
  <c r="AM18" i="237"/>
  <c r="D228" i="221" l="1"/>
  <c r="D229" i="221"/>
  <c r="D227" i="221"/>
  <c r="O1" i="210" a="1"/>
  <c r="O1" i="210" s="1"/>
  <c r="O1" i="209" s="1"/>
  <c r="AO33" i="244"/>
  <c r="AQ33" i="244"/>
  <c r="AO34" i="244"/>
  <c r="AQ34" i="244"/>
  <c r="AO35" i="244"/>
  <c r="AQ35" i="244"/>
  <c r="AO36" i="244"/>
  <c r="AQ36" i="244"/>
  <c r="AO37" i="244"/>
  <c r="AQ37" i="244"/>
  <c r="AO38" i="244"/>
  <c r="AQ38" i="244"/>
  <c r="AO39" i="244"/>
  <c r="AQ39" i="244"/>
  <c r="AO40" i="244"/>
  <c r="AQ40" i="244"/>
  <c r="AO41" i="244"/>
  <c r="AQ41" i="244"/>
  <c r="AO42" i="244"/>
  <c r="AQ42" i="244"/>
  <c r="C172" i="221"/>
  <c r="O1" i="207" l="1"/>
  <c r="O1" i="208"/>
  <c r="O1" i="219"/>
  <c r="O1" i="220"/>
  <c r="O1" i="217"/>
  <c r="O1" i="218"/>
  <c r="O1" i="234"/>
  <c r="O1" i="235"/>
  <c r="O1" i="229"/>
  <c r="O1" i="233"/>
  <c r="O1" i="232"/>
  <c r="O1" i="230"/>
  <c r="O1" i="231"/>
  <c r="O1" i="236"/>
  <c r="O1" i="240"/>
  <c r="O1" i="242"/>
  <c r="O1" i="237"/>
  <c r="O1" i="226"/>
  <c r="O1" i="243"/>
  <c r="O1" i="225"/>
  <c r="O1" i="216"/>
  <c r="O1" i="227"/>
  <c r="O1" i="214"/>
  <c r="O1" i="215"/>
  <c r="O1" i="213"/>
  <c r="O1" i="212"/>
  <c r="G51" i="209" a="1"/>
  <c r="G51" i="209" s="1"/>
  <c r="G50" i="209" a="1"/>
  <c r="G50" i="209" s="1"/>
  <c r="AL21" i="209" a="1"/>
  <c r="AL21" i="209" s="1"/>
  <c r="AO37" i="241"/>
  <c r="C38" i="241" l="1"/>
  <c r="C62" i="241"/>
  <c r="C37" i="241"/>
  <c r="C32" i="241"/>
  <c r="C61" i="241"/>
  <c r="C9" i="241"/>
  <c r="C3" i="241"/>
  <c r="C8" i="241"/>
  <c r="AP38" i="109"/>
  <c r="AP37" i="109"/>
  <c r="AP36" i="109"/>
  <c r="AP35" i="109"/>
  <c r="AL34" i="109"/>
  <c r="AP33" i="109"/>
  <c r="AL32" i="109"/>
  <c r="AL31" i="109"/>
  <c r="AP30" i="109"/>
  <c r="AL30" i="109"/>
  <c r="AL29" i="109"/>
  <c r="AP28" i="109"/>
  <c r="AL27" i="109"/>
  <c r="AP26" i="109"/>
  <c r="AL25" i="109"/>
  <c r="AP24" i="109"/>
  <c r="AP23" i="109"/>
  <c r="AL22" i="109"/>
  <c r="AP21" i="109"/>
  <c r="AL21" i="109"/>
  <c r="AL20" i="109"/>
  <c r="AP19" i="109"/>
  <c r="AL18" i="109"/>
  <c r="AP17" i="109"/>
  <c r="AL16" i="109"/>
  <c r="AP15" i="109"/>
  <c r="AL15" i="109"/>
  <c r="AD32" i="241"/>
  <c r="AO45" i="241"/>
  <c r="AO46" i="241"/>
  <c r="AD39" i="241"/>
  <c r="AD27" i="241"/>
  <c r="AK38" i="241"/>
  <c r="AD26" i="241"/>
  <c r="AO42" i="241"/>
  <c r="AD47" i="241"/>
  <c r="AD37" i="241"/>
  <c r="AK35" i="241"/>
  <c r="AD33" i="241"/>
  <c r="AD25" i="241"/>
  <c r="AK25" i="241"/>
  <c r="AO32" i="241"/>
  <c r="AO44" i="241"/>
  <c r="AD36" i="241"/>
  <c r="AK33" i="241"/>
  <c r="AK40" i="241"/>
  <c r="AD23" i="241"/>
  <c r="AD30" i="241"/>
  <c r="AO22" i="241"/>
  <c r="AK41" i="241"/>
  <c r="AK24" i="241"/>
  <c r="AO23" i="241"/>
  <c r="AD24" i="241"/>
  <c r="AD29" i="241"/>
  <c r="AO41" i="241"/>
  <c r="AK36" i="241"/>
  <c r="AO35" i="241"/>
  <c r="AD38" i="241"/>
  <c r="AO31" i="241"/>
  <c r="AD28" i="241"/>
  <c r="AD34" i="241"/>
  <c r="AK37" i="241"/>
  <c r="AO24" i="241"/>
  <c r="AK42" i="241"/>
  <c r="AK46" i="241"/>
  <c r="AO33" i="241"/>
  <c r="AO34" i="241"/>
  <c r="AK39" i="241"/>
  <c r="AO47" i="241"/>
  <c r="AO36" i="241"/>
  <c r="AK47" i="241"/>
  <c r="AD45" i="241"/>
  <c r="AD35" i="241"/>
  <c r="AK32" i="241"/>
  <c r="AD42" i="241"/>
  <c r="AK43" i="241"/>
  <c r="AK45" i="241"/>
  <c r="AK26" i="241"/>
  <c r="AD40" i="241"/>
  <c r="AK22" i="241"/>
  <c r="AK30" i="241"/>
  <c r="AK29" i="241"/>
  <c r="AK27" i="241"/>
  <c r="AO39" i="241"/>
  <c r="AD31" i="241"/>
  <c r="AO40" i="241"/>
  <c r="AO29" i="241"/>
  <c r="AD41" i="241"/>
  <c r="AO25" i="241"/>
  <c r="AO26" i="241"/>
  <c r="AO38" i="241"/>
  <c r="AO30" i="241"/>
  <c r="AO43" i="241"/>
  <c r="AD43" i="241"/>
  <c r="AK23" i="241"/>
  <c r="AK28" i="241"/>
  <c r="AK34" i="241"/>
  <c r="AD46" i="241"/>
  <c r="AK44" i="241"/>
  <c r="AK31" i="241"/>
  <c r="L62" i="237" l="1"/>
  <c r="BF62" i="237" s="1"/>
  <c r="L60" i="237"/>
  <c r="BF60" i="237" s="1"/>
  <c r="L56" i="237"/>
  <c r="BF56" i="237" s="1"/>
  <c r="L54" i="237"/>
  <c r="BF54" i="237" s="1"/>
  <c r="L50" i="237"/>
  <c r="BF50" i="237" s="1"/>
  <c r="L48" i="237"/>
  <c r="BF48" i="237" s="1"/>
  <c r="L44" i="237"/>
  <c r="BF44" i="237" s="1"/>
  <c r="L42" i="237"/>
  <c r="BF42" i="237" s="1"/>
  <c r="L38" i="237"/>
  <c r="BF38" i="237" s="1"/>
  <c r="L36" i="237"/>
  <c r="BF36" i="237" s="1"/>
  <c r="L34" i="237"/>
  <c r="BF34" i="237" s="1"/>
  <c r="L32" i="237"/>
  <c r="BF32" i="237" s="1"/>
  <c r="L30" i="237"/>
  <c r="BF30" i="237" s="1"/>
  <c r="L26" i="237"/>
  <c r="BF26" i="237" s="1"/>
  <c r="L24" i="237"/>
  <c r="BF24" i="237" s="1"/>
  <c r="L20" i="237"/>
  <c r="BF20" i="237" s="1"/>
  <c r="L22" i="237"/>
  <c r="BF22" i="237" l="1"/>
  <c r="BK20" i="240" l="1"/>
  <c r="BG18" i="237" l="1"/>
  <c r="BP18" i="237" l="1"/>
  <c r="A128" i="109" l="1"/>
  <c r="A127" i="109"/>
  <c r="BD30" i="109" l="1"/>
  <c r="BC30" i="109"/>
  <c r="BB30" i="109"/>
  <c r="BA30" i="109"/>
  <c r="AZ30" i="109"/>
  <c r="AY30" i="109"/>
  <c r="AX30" i="109"/>
  <c r="AW30" i="109"/>
  <c r="AV30" i="109"/>
  <c r="BD23" i="109"/>
  <c r="BC23" i="109"/>
  <c r="BB23" i="109"/>
  <c r="BA23" i="109"/>
  <c r="AZ23" i="109"/>
  <c r="AY23" i="109"/>
  <c r="AX23" i="109"/>
  <c r="AW23" i="109"/>
  <c r="AV23" i="109"/>
  <c r="AW16" i="109"/>
  <c r="AX16" i="109"/>
  <c r="AY16" i="109"/>
  <c r="AZ16" i="109"/>
  <c r="BA16" i="109"/>
  <c r="BB16" i="109"/>
  <c r="BC16" i="109"/>
  <c r="BD16" i="109"/>
  <c r="AV16" i="109"/>
  <c r="AL1" i="246"/>
  <c r="AP1" i="246"/>
  <c r="W202" i="246"/>
  <c r="AR202" i="246"/>
  <c r="B201" i="246"/>
  <c r="B200" i="246"/>
  <c r="M21" i="217" l="1"/>
  <c r="F21" i="217"/>
  <c r="F18" i="217"/>
  <c r="AH30" i="214" l="1"/>
  <c r="AA30" i="214"/>
  <c r="T30" i="214"/>
  <c r="M30" i="214"/>
  <c r="F30" i="214"/>
  <c r="D212" i="221" l="1"/>
  <c r="D213" i="221"/>
  <c r="D214" i="221"/>
  <c r="C219" i="221"/>
  <c r="D215" i="221" s="1"/>
  <c r="D191" i="221" l="1"/>
  <c r="D250" i="221"/>
  <c r="D226" i="221"/>
  <c r="D219" i="221"/>
  <c r="B43" i="108" l="1"/>
  <c r="AH38" i="214"/>
  <c r="AQ21" i="225" l="1"/>
  <c r="AQ22" i="225"/>
  <c r="AQ23" i="225"/>
  <c r="AQ24" i="225"/>
  <c r="AQ25" i="225"/>
  <c r="AQ26" i="225"/>
  <c r="AQ27" i="225"/>
  <c r="AQ28" i="225"/>
  <c r="AQ29" i="225"/>
  <c r="AQ30" i="225"/>
  <c r="AQ31" i="225"/>
  <c r="AQ32" i="225"/>
  <c r="AQ33" i="225"/>
  <c r="AQ34" i="225"/>
  <c r="AQ35" i="225"/>
  <c r="AQ36" i="225"/>
  <c r="AQ37" i="225"/>
  <c r="AQ38" i="225"/>
  <c r="AQ39" i="225"/>
  <c r="AQ40" i="225"/>
  <c r="AQ41" i="225"/>
  <c r="AQ42" i="225"/>
  <c r="AQ43" i="225"/>
  <c r="AQ44" i="225"/>
  <c r="AQ45" i="225"/>
  <c r="AQ46" i="225"/>
  <c r="AQ47" i="225"/>
  <c r="AQ48" i="225"/>
  <c r="AQ49" i="225"/>
  <c r="AB21" i="225"/>
  <c r="AB22" i="225"/>
  <c r="AB23" i="225"/>
  <c r="AB24" i="225"/>
  <c r="AB25" i="225"/>
  <c r="AB26" i="225"/>
  <c r="AB27" i="225"/>
  <c r="AB28" i="225"/>
  <c r="AB29" i="225"/>
  <c r="AB30" i="225"/>
  <c r="AB31" i="225"/>
  <c r="AB32" i="225"/>
  <c r="AB33" i="225"/>
  <c r="AB34" i="225"/>
  <c r="AB35" i="225"/>
  <c r="AB36" i="225"/>
  <c r="AB37" i="225"/>
  <c r="AB38" i="225"/>
  <c r="AB39" i="225"/>
  <c r="AB40" i="225"/>
  <c r="AB41" i="225"/>
  <c r="AB42" i="225"/>
  <c r="AB43" i="225"/>
  <c r="AB44" i="225"/>
  <c r="AB45" i="225"/>
  <c r="AB46" i="225"/>
  <c r="AB47" i="225"/>
  <c r="AB48" i="225"/>
  <c r="AB49" i="225"/>
  <c r="M21" i="225"/>
  <c r="M22" i="225"/>
  <c r="M23" i="225"/>
  <c r="M24" i="225"/>
  <c r="M25" i="225"/>
  <c r="M26" i="225"/>
  <c r="M27" i="225"/>
  <c r="M28" i="225"/>
  <c r="M29" i="225"/>
  <c r="M30" i="225"/>
  <c r="M31" i="225"/>
  <c r="M32" i="225"/>
  <c r="M33" i="225"/>
  <c r="M34" i="225"/>
  <c r="M35" i="225"/>
  <c r="M36" i="225"/>
  <c r="M37" i="225"/>
  <c r="M38" i="225"/>
  <c r="M39" i="225"/>
  <c r="M40" i="225"/>
  <c r="M41" i="225"/>
  <c r="M42" i="225"/>
  <c r="M43" i="225"/>
  <c r="M44" i="225"/>
  <c r="M45" i="225"/>
  <c r="M46" i="225"/>
  <c r="M47" i="225"/>
  <c r="M48" i="225"/>
  <c r="M49" i="225"/>
  <c r="BH20" i="230" l="1"/>
  <c r="BH22" i="230"/>
  <c r="BH26" i="230"/>
  <c r="BH28" i="230"/>
  <c r="BH30" i="230"/>
  <c r="BH32" i="230"/>
  <c r="BH34" i="230"/>
  <c r="BH36" i="230"/>
  <c r="BO20" i="230"/>
  <c r="BO22" i="230"/>
  <c r="BO26" i="230"/>
  <c r="BO28" i="230"/>
  <c r="BO30" i="230"/>
  <c r="BO32" i="230"/>
  <c r="BO34" i="230"/>
  <c r="BO36" i="230"/>
  <c r="BR20" i="230"/>
  <c r="BR22" i="230"/>
  <c r="BR26" i="230"/>
  <c r="BR28" i="230"/>
  <c r="BR30" i="230"/>
  <c r="BR32" i="230"/>
  <c r="BR34" i="230"/>
  <c r="BR36" i="230"/>
  <c r="BD20" i="230"/>
  <c r="BE20" i="230"/>
  <c r="BD22" i="230"/>
  <c r="BE22" i="230"/>
  <c r="BD24" i="230"/>
  <c r="BE24" i="230"/>
  <c r="BD26" i="230"/>
  <c r="BE26" i="230"/>
  <c r="BD28" i="230"/>
  <c r="BE28" i="230"/>
  <c r="BD30" i="230"/>
  <c r="BE30" i="230"/>
  <c r="BD32" i="230"/>
  <c r="BE32" i="230"/>
  <c r="BD34" i="230"/>
  <c r="BE34" i="230"/>
  <c r="BD36" i="230"/>
  <c r="BE36" i="230"/>
  <c r="AY20" i="230"/>
  <c r="AY22" i="230"/>
  <c r="AY26" i="230"/>
  <c r="AY28" i="230"/>
  <c r="AY30" i="230"/>
  <c r="AY32" i="230"/>
  <c r="AY34" i="230"/>
  <c r="AY36" i="230"/>
  <c r="AK20" i="230"/>
  <c r="AK22" i="230"/>
  <c r="AK26" i="230"/>
  <c r="BB26" i="230" s="1"/>
  <c r="AK28" i="230"/>
  <c r="BB28" i="230" s="1"/>
  <c r="AK30" i="230"/>
  <c r="BC30" i="230" s="1"/>
  <c r="AK32" i="230"/>
  <c r="BB32" i="230" s="1"/>
  <c r="AK34" i="230"/>
  <c r="AK36" i="230"/>
  <c r="AH20" i="230"/>
  <c r="AH22" i="230"/>
  <c r="AH24" i="230"/>
  <c r="AH26" i="230"/>
  <c r="AH28" i="230"/>
  <c r="AH30" i="230"/>
  <c r="AH32" i="230"/>
  <c r="AH34" i="230"/>
  <c r="AH36" i="230"/>
  <c r="BB30" i="230" l="1"/>
  <c r="AK24" i="230"/>
  <c r="BC28" i="230"/>
  <c r="BC36" i="230"/>
  <c r="BB36" i="230"/>
  <c r="BC34" i="230"/>
  <c r="BC22" i="230"/>
  <c r="BB34" i="230"/>
  <c r="BB22" i="230"/>
  <c r="BC32" i="230"/>
  <c r="BC20" i="230"/>
  <c r="BB20" i="230"/>
  <c r="BC26" i="230"/>
  <c r="BB24" i="230" l="1"/>
  <c r="BC24" i="230"/>
  <c r="BP22" i="237" l="1"/>
  <c r="BP24" i="237"/>
  <c r="BA22" i="237" l="1"/>
  <c r="BB22" i="237"/>
  <c r="BA26" i="237"/>
  <c r="BB26" i="237"/>
  <c r="BA28" i="237"/>
  <c r="BB28" i="237"/>
  <c r="BA24" i="237"/>
  <c r="BB24" i="237"/>
  <c r="BA20" i="237"/>
  <c r="BB20" i="237"/>
  <c r="AR28" i="237"/>
  <c r="V23" i="244" s="1"/>
  <c r="E61" i="241"/>
  <c r="F61" i="241"/>
  <c r="G61" i="241"/>
  <c r="E62" i="241"/>
  <c r="F62" i="241"/>
  <c r="G62" i="241"/>
  <c r="D62" i="241"/>
  <c r="D61" i="241"/>
  <c r="AO27" i="241"/>
  <c r="AO28" i="241"/>
  <c r="BN20" i="237" l="1"/>
  <c r="BN22" i="237"/>
  <c r="BN24" i="237"/>
  <c r="BN26" i="237"/>
  <c r="BN28" i="237"/>
  <c r="BN30" i="237"/>
  <c r="BN32" i="237"/>
  <c r="BN34" i="237"/>
  <c r="BN36" i="237"/>
  <c r="BN38" i="237"/>
  <c r="BN40" i="237"/>
  <c r="BN42" i="237"/>
  <c r="BN44" i="237"/>
  <c r="BN46" i="237"/>
  <c r="BN48" i="237"/>
  <c r="BN50" i="237"/>
  <c r="BN52" i="237"/>
  <c r="BN54" i="237"/>
  <c r="BN56" i="237"/>
  <c r="BN58" i="237"/>
  <c r="BN60" i="237"/>
  <c r="BN62" i="237"/>
  <c r="BN64" i="237"/>
  <c r="BN66" i="237"/>
  <c r="BN68" i="237"/>
  <c r="BN70" i="237"/>
  <c r="BN72" i="237"/>
  <c r="BN74" i="237"/>
  <c r="BN76" i="237"/>
  <c r="BN78" i="237"/>
  <c r="BN80" i="237"/>
  <c r="BN82" i="237"/>
  <c r="BN84" i="237"/>
  <c r="BN86" i="237"/>
  <c r="BN18" i="237"/>
  <c r="BO22" i="237"/>
  <c r="BO24" i="237"/>
  <c r="BO30" i="237"/>
  <c r="BG30" i="237" s="1"/>
  <c r="BO32" i="237"/>
  <c r="BG32" i="237" s="1"/>
  <c r="BO34" i="237"/>
  <c r="BG34" i="237" s="1"/>
  <c r="BO36" i="237"/>
  <c r="BG36" i="237" s="1"/>
  <c r="BO38" i="237"/>
  <c r="BG38" i="237" s="1"/>
  <c r="BO40" i="237"/>
  <c r="BO42" i="237"/>
  <c r="BO44" i="237"/>
  <c r="BO46" i="237"/>
  <c r="BO48" i="237"/>
  <c r="BO50" i="237"/>
  <c r="BO52" i="237"/>
  <c r="BO54" i="237"/>
  <c r="BO56" i="237"/>
  <c r="BO58" i="237"/>
  <c r="BO60" i="237"/>
  <c r="BO62" i="237"/>
  <c r="BO64" i="237"/>
  <c r="BO66" i="237"/>
  <c r="BO68" i="237"/>
  <c r="BO70" i="237"/>
  <c r="BO72" i="237"/>
  <c r="BO74" i="237"/>
  <c r="BO76" i="237"/>
  <c r="BO78" i="237"/>
  <c r="BO80" i="237"/>
  <c r="BO82" i="237"/>
  <c r="BO84" i="237"/>
  <c r="BO86" i="237"/>
  <c r="BP20" i="237"/>
  <c r="BP26" i="237"/>
  <c r="BP28" i="237"/>
  <c r="BP30" i="237"/>
  <c r="BP32" i="237"/>
  <c r="BP34" i="237"/>
  <c r="BP36" i="237"/>
  <c r="BP38" i="237"/>
  <c r="BP40" i="237"/>
  <c r="BP42" i="237"/>
  <c r="BP44" i="237"/>
  <c r="BP46" i="237"/>
  <c r="BP48" i="237"/>
  <c r="BP50" i="237"/>
  <c r="BP52" i="237"/>
  <c r="BP54" i="237"/>
  <c r="BP56" i="237"/>
  <c r="BP58" i="237"/>
  <c r="BP60" i="237"/>
  <c r="BP62" i="237"/>
  <c r="BP64" i="237"/>
  <c r="BP66" i="237"/>
  <c r="BP68" i="237"/>
  <c r="BP70" i="237"/>
  <c r="BP72" i="237"/>
  <c r="BP74" i="237"/>
  <c r="BP76" i="237"/>
  <c r="BP78" i="237"/>
  <c r="BP80" i="237"/>
  <c r="BP82" i="237"/>
  <c r="BP84" i="237"/>
  <c r="BP86" i="237"/>
  <c r="BA30" i="237" l="1"/>
  <c r="BB30" i="237"/>
  <c r="BD26" i="233"/>
  <c r="BE26" i="233"/>
  <c r="BD28" i="233"/>
  <c r="BE28" i="233"/>
  <c r="BD30" i="233"/>
  <c r="BE30" i="233"/>
  <c r="BD32" i="233"/>
  <c r="BE32" i="233"/>
  <c r="BD34" i="233"/>
  <c r="BE34" i="233"/>
  <c r="BD36" i="233"/>
  <c r="BE36" i="233"/>
  <c r="BD18" i="233"/>
  <c r="BE18" i="233"/>
  <c r="BD20" i="233"/>
  <c r="BE20" i="233"/>
  <c r="BD22" i="233"/>
  <c r="BE22" i="233"/>
  <c r="BD26" i="229"/>
  <c r="BE26" i="229"/>
  <c r="BD28" i="229"/>
  <c r="BE28" i="229"/>
  <c r="BD30" i="229"/>
  <c r="BE30" i="229"/>
  <c r="BD32" i="229"/>
  <c r="BE32" i="229"/>
  <c r="BD34" i="229"/>
  <c r="BE34" i="229"/>
  <c r="BD36" i="229"/>
  <c r="BE36" i="229"/>
  <c r="BD18" i="229"/>
  <c r="BE18" i="229"/>
  <c r="BD20" i="229"/>
  <c r="BE20" i="229"/>
  <c r="BD22" i="229"/>
  <c r="BE22" i="229"/>
  <c r="BE28" i="232"/>
  <c r="BE30" i="232"/>
  <c r="BE32" i="232"/>
  <c r="BE34" i="232"/>
  <c r="BE36" i="232"/>
  <c r="BE18" i="232"/>
  <c r="BE20" i="232"/>
  <c r="BE22" i="232"/>
  <c r="BE24" i="232"/>
  <c r="BD28" i="232"/>
  <c r="BD30" i="232"/>
  <c r="BD32" i="232"/>
  <c r="BD34" i="232"/>
  <c r="BD36" i="232"/>
  <c r="BD18" i="232"/>
  <c r="BD20" i="232"/>
  <c r="BD22" i="232"/>
  <c r="BD24" i="232"/>
  <c r="BD24" i="231"/>
  <c r="BD26" i="231"/>
  <c r="BD28" i="231"/>
  <c r="BD30" i="231"/>
  <c r="BD32" i="231"/>
  <c r="BD34" i="231"/>
  <c r="BD36" i="231"/>
  <c r="BD18" i="231"/>
  <c r="BD20" i="231"/>
  <c r="BI200" i="234"/>
  <c r="BI200" i="233"/>
  <c r="BI200" i="229"/>
  <c r="BI200" i="232"/>
  <c r="BI200" i="231"/>
  <c r="BI200" i="230"/>
  <c r="AA29" i="218"/>
  <c r="BR20" i="234" l="1"/>
  <c r="BR22" i="234"/>
  <c r="BR24" i="234"/>
  <c r="BO20" i="234"/>
  <c r="BO22" i="234"/>
  <c r="BO24" i="234"/>
  <c r="BH20" i="234"/>
  <c r="BH22" i="234"/>
  <c r="BH24" i="234"/>
  <c r="BD20" i="234"/>
  <c r="BE20" i="234"/>
  <c r="BD22" i="234"/>
  <c r="BE22" i="234"/>
  <c r="BD24" i="234"/>
  <c r="BE24" i="234"/>
  <c r="BE18" i="234"/>
  <c r="BD18" i="234"/>
  <c r="AY20" i="234"/>
  <c r="AY22" i="234"/>
  <c r="AY24" i="234"/>
  <c r="AK20" i="234"/>
  <c r="AK22" i="234"/>
  <c r="AK24" i="234"/>
  <c r="AH20" i="234"/>
  <c r="AH22" i="234"/>
  <c r="AH24" i="234"/>
  <c r="AH18" i="234"/>
  <c r="BR20" i="233"/>
  <c r="BR22" i="233"/>
  <c r="BR26" i="233"/>
  <c r="BR28" i="233"/>
  <c r="BR30" i="233"/>
  <c r="BR32" i="233"/>
  <c r="BR34" i="233"/>
  <c r="BR36" i="233"/>
  <c r="BR18" i="233"/>
  <c r="BO20" i="233"/>
  <c r="BO22" i="233"/>
  <c r="BO26" i="233"/>
  <c r="BO28" i="233"/>
  <c r="BO30" i="233"/>
  <c r="BO32" i="233"/>
  <c r="BO34" i="233"/>
  <c r="BO36" i="233"/>
  <c r="BO18" i="233"/>
  <c r="BH20" i="233"/>
  <c r="BH22" i="233"/>
  <c r="BH26" i="233"/>
  <c r="BH28" i="233"/>
  <c r="BH30" i="233"/>
  <c r="BH32" i="233"/>
  <c r="BH34" i="233"/>
  <c r="BH36" i="233"/>
  <c r="BH18" i="233"/>
  <c r="BE24" i="233"/>
  <c r="BD24" i="233"/>
  <c r="AY20" i="233"/>
  <c r="AY22" i="233"/>
  <c r="AY26" i="233"/>
  <c r="AY28" i="233"/>
  <c r="AY30" i="233"/>
  <c r="AY32" i="233"/>
  <c r="AY34" i="233"/>
  <c r="AY36" i="233"/>
  <c r="AY18" i="233"/>
  <c r="AK20" i="233"/>
  <c r="AK22" i="233"/>
  <c r="AK26" i="233"/>
  <c r="AK28" i="233"/>
  <c r="AK30" i="233"/>
  <c r="AK32" i="233"/>
  <c r="AK34" i="233"/>
  <c r="AK36" i="233"/>
  <c r="AK18" i="233"/>
  <c r="AH20" i="233"/>
  <c r="AH22" i="233"/>
  <c r="AH24" i="233"/>
  <c r="AH26" i="233"/>
  <c r="AH28" i="233"/>
  <c r="AH30" i="233"/>
  <c r="AH32" i="233"/>
  <c r="AH34" i="233"/>
  <c r="AH36" i="233"/>
  <c r="AH18" i="233"/>
  <c r="BR20" i="229"/>
  <c r="BR22" i="229"/>
  <c r="BR26" i="229"/>
  <c r="BR28" i="229"/>
  <c r="BR30" i="229"/>
  <c r="BR32" i="229"/>
  <c r="BR34" i="229"/>
  <c r="BR36" i="229"/>
  <c r="BR18" i="229"/>
  <c r="BO20" i="229"/>
  <c r="BO22" i="229"/>
  <c r="BO26" i="229"/>
  <c r="BO28" i="229"/>
  <c r="BO30" i="229"/>
  <c r="BO32" i="229"/>
  <c r="BO34" i="229"/>
  <c r="BO36" i="229"/>
  <c r="BO18" i="229"/>
  <c r="BH20" i="229"/>
  <c r="BH22" i="229"/>
  <c r="BH26" i="229"/>
  <c r="BH28" i="229"/>
  <c r="BH30" i="229"/>
  <c r="BH32" i="229"/>
  <c r="BH34" i="229"/>
  <c r="BH36" i="229"/>
  <c r="BH18" i="229"/>
  <c r="BD24" i="229"/>
  <c r="BE24" i="229"/>
  <c r="AY20" i="229"/>
  <c r="AY22" i="229"/>
  <c r="AY26" i="229"/>
  <c r="AY28" i="229"/>
  <c r="AY30" i="229"/>
  <c r="AY32" i="229"/>
  <c r="AY34" i="229"/>
  <c r="AY36" i="229"/>
  <c r="AY18" i="229"/>
  <c r="AK20" i="229"/>
  <c r="AK22" i="229"/>
  <c r="AK26" i="229"/>
  <c r="AK28" i="229"/>
  <c r="AK30" i="229"/>
  <c r="AK32" i="229"/>
  <c r="AK34" i="229"/>
  <c r="AK36" i="229"/>
  <c r="AK18" i="229"/>
  <c r="AH20" i="229"/>
  <c r="AH22" i="229"/>
  <c r="AH24" i="229"/>
  <c r="AH26" i="229"/>
  <c r="AH28" i="229"/>
  <c r="AH30" i="229"/>
  <c r="AH32" i="229"/>
  <c r="AH34" i="229"/>
  <c r="AH36" i="229"/>
  <c r="AH18" i="229"/>
  <c r="BR20" i="232"/>
  <c r="BR22" i="232"/>
  <c r="BR24" i="232"/>
  <c r="BR28" i="232"/>
  <c r="BR30" i="232"/>
  <c r="BR32" i="232"/>
  <c r="BR34" i="232"/>
  <c r="BR36" i="232"/>
  <c r="BO20" i="232"/>
  <c r="BO22" i="232"/>
  <c r="BO24" i="232"/>
  <c r="BO28" i="232"/>
  <c r="BO30" i="232"/>
  <c r="BO32" i="232"/>
  <c r="BO34" i="232"/>
  <c r="BO36" i="232"/>
  <c r="BH20" i="232"/>
  <c r="BH22" i="232"/>
  <c r="BH24" i="232"/>
  <c r="BH28" i="232"/>
  <c r="BH30" i="232"/>
  <c r="BH32" i="232"/>
  <c r="BH34" i="232"/>
  <c r="BH36" i="232"/>
  <c r="BD26" i="232"/>
  <c r="BE26" i="232"/>
  <c r="AY20" i="232"/>
  <c r="AY22" i="232"/>
  <c r="AY24" i="232"/>
  <c r="AY28" i="232"/>
  <c r="AY30" i="232"/>
  <c r="AY32" i="232"/>
  <c r="AY34" i="232"/>
  <c r="AY36" i="232"/>
  <c r="AK20" i="232"/>
  <c r="AK22" i="232"/>
  <c r="AK24" i="232"/>
  <c r="AK28" i="232"/>
  <c r="AK30" i="232"/>
  <c r="AK32" i="232"/>
  <c r="AK34" i="232"/>
  <c r="AK36" i="232"/>
  <c r="AK18" i="232"/>
  <c r="AH20" i="232"/>
  <c r="AH22" i="232"/>
  <c r="AH24" i="232"/>
  <c r="AH26" i="232"/>
  <c r="AH28" i="232"/>
  <c r="AH30" i="232"/>
  <c r="AH32" i="232"/>
  <c r="AH34" i="232"/>
  <c r="AH36" i="232"/>
  <c r="AH18" i="232"/>
  <c r="BA18" i="232"/>
  <c r="BR20" i="231"/>
  <c r="BR24" i="231"/>
  <c r="BR26" i="231"/>
  <c r="BR28" i="231"/>
  <c r="BR30" i="231"/>
  <c r="BR32" i="231"/>
  <c r="BR34" i="231"/>
  <c r="BR36" i="231"/>
  <c r="BO20" i="231"/>
  <c r="BO24" i="231"/>
  <c r="BO26" i="231"/>
  <c r="BO28" i="231"/>
  <c r="BO30" i="231"/>
  <c r="BO32" i="231"/>
  <c r="BO34" i="231"/>
  <c r="BO36" i="231"/>
  <c r="BH20" i="231"/>
  <c r="BH24" i="231"/>
  <c r="BH26" i="231"/>
  <c r="BH28" i="231"/>
  <c r="BH30" i="231"/>
  <c r="BH32" i="231"/>
  <c r="BH34" i="231"/>
  <c r="BH36" i="231"/>
  <c r="BE20" i="231"/>
  <c r="BE22" i="231"/>
  <c r="BE24" i="231"/>
  <c r="BE26" i="231"/>
  <c r="BE28" i="231"/>
  <c r="BE30" i="231"/>
  <c r="BE32" i="231"/>
  <c r="BE34" i="231"/>
  <c r="BE36" i="231"/>
  <c r="BE18" i="231"/>
  <c r="AK18" i="231" s="1"/>
  <c r="BD22" i="231"/>
  <c r="BA18" i="231"/>
  <c r="AY20" i="231"/>
  <c r="AY24" i="231"/>
  <c r="AY26" i="231"/>
  <c r="AY28" i="231"/>
  <c r="AY30" i="231"/>
  <c r="AY32" i="231"/>
  <c r="AY34" i="231"/>
  <c r="AY36" i="231"/>
  <c r="AK20" i="231"/>
  <c r="AK24" i="231"/>
  <c r="AK26" i="231"/>
  <c r="AK28" i="231"/>
  <c r="AK30" i="231"/>
  <c r="AK32" i="231"/>
  <c r="AK34" i="231"/>
  <c r="AK36" i="231"/>
  <c r="AH20" i="231"/>
  <c r="AH22" i="231"/>
  <c r="AH24" i="231"/>
  <c r="AH26" i="231"/>
  <c r="AH28" i="231"/>
  <c r="AH30" i="231"/>
  <c r="AH32" i="231"/>
  <c r="AH34" i="231"/>
  <c r="AH36" i="231"/>
  <c r="AH18" i="231"/>
  <c r="AK24" i="233" l="1"/>
  <c r="BB24" i="233" s="1"/>
  <c r="BB20" i="229"/>
  <c r="BC20" i="229"/>
  <c r="BB34" i="233"/>
  <c r="BC34" i="233"/>
  <c r="BB20" i="234"/>
  <c r="BC20" i="234"/>
  <c r="BC30" i="233"/>
  <c r="BB30" i="233"/>
  <c r="BC18" i="232"/>
  <c r="BB18" i="232"/>
  <c r="BB28" i="233"/>
  <c r="BC28" i="233"/>
  <c r="BC36" i="232"/>
  <c r="BB36" i="232"/>
  <c r="BB18" i="229"/>
  <c r="BC18" i="229"/>
  <c r="BB26" i="233"/>
  <c r="BC26" i="233"/>
  <c r="BC36" i="231"/>
  <c r="BB36" i="231"/>
  <c r="BB34" i="231"/>
  <c r="BC34" i="231"/>
  <c r="BB34" i="232"/>
  <c r="BC34" i="232"/>
  <c r="BC36" i="229"/>
  <c r="BB36" i="229"/>
  <c r="BB22" i="233"/>
  <c r="BC22" i="233"/>
  <c r="BB32" i="233"/>
  <c r="BC32" i="233"/>
  <c r="BC32" i="231"/>
  <c r="BB32" i="231"/>
  <c r="BB32" i="232"/>
  <c r="BC32" i="232"/>
  <c r="BB34" i="229"/>
  <c r="BC34" i="229"/>
  <c r="BB20" i="233"/>
  <c r="BC20" i="233"/>
  <c r="BB30" i="232"/>
  <c r="BC30" i="232"/>
  <c r="BB32" i="229"/>
  <c r="BC32" i="229"/>
  <c r="BC30" i="231"/>
  <c r="BB30" i="231"/>
  <c r="BB28" i="232"/>
  <c r="BC28" i="232"/>
  <c r="BC30" i="229"/>
  <c r="BB30" i="229"/>
  <c r="BB26" i="231"/>
  <c r="BC26" i="231"/>
  <c r="BC24" i="232"/>
  <c r="BB24" i="232"/>
  <c r="BB28" i="229"/>
  <c r="BC28" i="229"/>
  <c r="BC18" i="231"/>
  <c r="BB18" i="231"/>
  <c r="BC24" i="231"/>
  <c r="BB24" i="231"/>
  <c r="BB22" i="232"/>
  <c r="BC22" i="232"/>
  <c r="BC26" i="229"/>
  <c r="BB26" i="229"/>
  <c r="BC18" i="233"/>
  <c r="BB18" i="233"/>
  <c r="BB24" i="234"/>
  <c r="BC24" i="234"/>
  <c r="BB28" i="231"/>
  <c r="BC28" i="231"/>
  <c r="BC20" i="231"/>
  <c r="BB20" i="231"/>
  <c r="BB20" i="232"/>
  <c r="BC20" i="232"/>
  <c r="BB22" i="229"/>
  <c r="BC22" i="229"/>
  <c r="BB36" i="233"/>
  <c r="BC36" i="233"/>
  <c r="BB22" i="234"/>
  <c r="BC22" i="234"/>
  <c r="AK22" i="231"/>
  <c r="N18" i="221" s="1"/>
  <c r="AK26" i="232"/>
  <c r="N19" i="221" s="1"/>
  <c r="AK24" i="229"/>
  <c r="N20" i="221" s="1"/>
  <c r="AK18" i="234"/>
  <c r="N22" i="221" s="1"/>
  <c r="BE18" i="230"/>
  <c r="BD18" i="230"/>
  <c r="AH18" i="230"/>
  <c r="N21" i="221" l="1"/>
  <c r="BC24" i="233"/>
  <c r="BC200" i="233" s="1"/>
  <c r="BC24" i="229"/>
  <c r="BC200" i="229" s="1"/>
  <c r="BB24" i="229"/>
  <c r="BB26" i="232"/>
  <c r="BC26" i="232"/>
  <c r="BC200" i="232" s="1"/>
  <c r="BB22" i="231"/>
  <c r="BC22" i="231"/>
  <c r="BC200" i="231" s="1"/>
  <c r="BB18" i="234"/>
  <c r="BC18" i="234"/>
  <c r="BC200" i="234" s="1"/>
  <c r="AK18" i="230"/>
  <c r="N17" i="221" s="1"/>
  <c r="BB200" i="231" l="1"/>
  <c r="BB200" i="232"/>
  <c r="BB200" i="229"/>
  <c r="BB200" i="233"/>
  <c r="BB200" i="234"/>
  <c r="BC18" i="230"/>
  <c r="BC200" i="230" s="1"/>
  <c r="BB18" i="230"/>
  <c r="BB200" i="230" l="1"/>
  <c r="O9" i="237" l="1"/>
  <c r="B44" i="108" l="1"/>
  <c r="M50" i="108" s="1"/>
  <c r="I74" i="108"/>
  <c r="F77" i="108"/>
  <c r="H74" i="108"/>
  <c r="I73" i="108"/>
  <c r="F76" i="108"/>
  <c r="H73" i="108"/>
  <c r="I72" i="108"/>
  <c r="F75" i="108"/>
  <c r="H72" i="108"/>
  <c r="I71" i="108"/>
  <c r="F74" i="108"/>
  <c r="H71" i="108"/>
  <c r="I70" i="108"/>
  <c r="F73" i="108"/>
  <c r="H70" i="108"/>
  <c r="I69" i="108"/>
  <c r="F72" i="108"/>
  <c r="H69" i="108"/>
  <c r="I68" i="108"/>
  <c r="F71" i="108"/>
  <c r="H68" i="108"/>
  <c r="I67" i="108"/>
  <c r="F70" i="108"/>
  <c r="H67" i="108"/>
  <c r="I66" i="108"/>
  <c r="F69" i="108"/>
  <c r="H66" i="108"/>
  <c r="I65" i="108"/>
  <c r="F68" i="108"/>
  <c r="H65" i="108"/>
  <c r="I64" i="108"/>
  <c r="F67" i="108"/>
  <c r="H64" i="108"/>
  <c r="I63" i="108"/>
  <c r="F66" i="108"/>
  <c r="H63" i="108"/>
  <c r="I62" i="108"/>
  <c r="F65" i="108"/>
  <c r="H62" i="108"/>
  <c r="I61" i="108"/>
  <c r="F64" i="108"/>
  <c r="H61" i="108"/>
  <c r="I60" i="108"/>
  <c r="F63" i="108"/>
  <c r="H60" i="108"/>
  <c r="I59" i="108"/>
  <c r="F62" i="108"/>
  <c r="H59" i="108"/>
  <c r="I58" i="108"/>
  <c r="F61" i="108"/>
  <c r="H58" i="108"/>
  <c r="I57" i="108"/>
  <c r="F60" i="108"/>
  <c r="H57" i="108"/>
  <c r="I56" i="108"/>
  <c r="F59" i="108"/>
  <c r="H56" i="108"/>
  <c r="I55" i="108"/>
  <c r="F58" i="108"/>
  <c r="H55" i="108"/>
  <c r="I54" i="108"/>
  <c r="F57" i="108"/>
  <c r="H54" i="108"/>
  <c r="I53" i="108"/>
  <c r="F56" i="108"/>
  <c r="H53" i="108"/>
  <c r="I52" i="108"/>
  <c r="F55" i="108"/>
  <c r="H52" i="108"/>
  <c r="I51" i="108"/>
  <c r="F54" i="108"/>
  <c r="H51" i="108"/>
  <c r="F53" i="108"/>
  <c r="F78" i="108" l="1"/>
  <c r="O50" i="108"/>
  <c r="O51" i="108" s="1"/>
  <c r="O52" i="108" s="1"/>
  <c r="O53" i="108" s="1"/>
  <c r="O54" i="108" s="1"/>
  <c r="O55" i="108" s="1"/>
  <c r="O56" i="108" s="1"/>
  <c r="O57" i="108" s="1"/>
  <c r="O58" i="108" s="1"/>
  <c r="O59" i="108" s="1"/>
  <c r="O60" i="108" s="1"/>
  <c r="O61" i="108" s="1"/>
  <c r="O62" i="108" s="1"/>
  <c r="O63" i="108" s="1"/>
  <c r="O64" i="108" s="1"/>
  <c r="O65" i="108" s="1"/>
  <c r="O66" i="108" s="1"/>
  <c r="O67" i="108" s="1"/>
  <c r="O68" i="108" s="1"/>
  <c r="O69" i="108" s="1"/>
  <c r="O70" i="108" s="1"/>
  <c r="O71" i="108" s="1"/>
  <c r="O72" i="108" s="1"/>
  <c r="O73" i="108" s="1"/>
  <c r="O74" i="108" s="1"/>
  <c r="M51" i="108"/>
  <c r="G13" i="108" s="1"/>
  <c r="G12" i="108"/>
  <c r="C78" i="108"/>
  <c r="L50" i="108"/>
  <c r="D78" i="108"/>
  <c r="M52" i="108" l="1"/>
  <c r="G14" i="108" s="1"/>
  <c r="L51" i="108"/>
  <c r="F13" i="108" s="1"/>
  <c r="F12" i="108"/>
  <c r="E78" i="108"/>
  <c r="M53" i="108" l="1"/>
  <c r="G15" i="108" s="1"/>
  <c r="L52" i="108"/>
  <c r="F14" i="108" s="1"/>
  <c r="M54" i="108" l="1"/>
  <c r="G16" i="108" s="1"/>
  <c r="L53" i="108"/>
  <c r="F15" i="108" s="1"/>
  <c r="M55" i="108" l="1"/>
  <c r="G17" i="108" s="1"/>
  <c r="L54" i="108"/>
  <c r="F16" i="108" s="1"/>
  <c r="M56" i="108" l="1"/>
  <c r="G18" i="108" s="1"/>
  <c r="L55" i="108"/>
  <c r="F17" i="108" s="1"/>
  <c r="M57" i="108" l="1"/>
  <c r="G19" i="108" s="1"/>
  <c r="L56" i="108"/>
  <c r="F18" i="108" s="1"/>
  <c r="M58" i="108" l="1"/>
  <c r="G20" i="108" s="1"/>
  <c r="L57" i="108"/>
  <c r="F19" i="108" s="1"/>
  <c r="M59" i="108" l="1"/>
  <c r="G21" i="108" s="1"/>
  <c r="L58" i="108"/>
  <c r="F20" i="108" s="1"/>
  <c r="M60" i="108" l="1"/>
  <c r="G22" i="108" s="1"/>
  <c r="L59" i="108"/>
  <c r="F21" i="108" s="1"/>
  <c r="M61" i="108" l="1"/>
  <c r="G23" i="108" s="1"/>
  <c r="L60" i="108"/>
  <c r="F22" i="108" s="1"/>
  <c r="O1" i="246"/>
  <c r="M62" i="108" l="1"/>
  <c r="G24" i="108" s="1"/>
  <c r="L61" i="108"/>
  <c r="F23" i="108" s="1"/>
  <c r="M63" i="108" l="1"/>
  <c r="G25" i="108" s="1"/>
  <c r="L62" i="108"/>
  <c r="F24" i="108" s="1"/>
  <c r="L182" i="244"/>
  <c r="A33" i="244"/>
  <c r="P33" i="244"/>
  <c r="Q33" i="244"/>
  <c r="A34" i="244"/>
  <c r="P34" i="244"/>
  <c r="Q34" i="244"/>
  <c r="A35" i="244"/>
  <c r="P35" i="244"/>
  <c r="Q35" i="244"/>
  <c r="A36" i="244"/>
  <c r="P36" i="244"/>
  <c r="Q36" i="244"/>
  <c r="A37" i="244"/>
  <c r="P37" i="244"/>
  <c r="Q37" i="244"/>
  <c r="A38" i="244"/>
  <c r="P38" i="244"/>
  <c r="Q38" i="244"/>
  <c r="A39" i="244"/>
  <c r="P39" i="244"/>
  <c r="Q39" i="244"/>
  <c r="A40" i="244"/>
  <c r="P40" i="244"/>
  <c r="Q40" i="244"/>
  <c r="A41" i="244"/>
  <c r="P41" i="244"/>
  <c r="Q41" i="244"/>
  <c r="A42" i="244"/>
  <c r="P42" i="244"/>
  <c r="Q42" i="244"/>
  <c r="A43" i="244"/>
  <c r="P43" i="244"/>
  <c r="Q43" i="244"/>
  <c r="A44" i="244"/>
  <c r="P44" i="244"/>
  <c r="Q44" i="244"/>
  <c r="A45" i="244"/>
  <c r="P45" i="244"/>
  <c r="Q45" i="244"/>
  <c r="A46" i="244"/>
  <c r="P46" i="244"/>
  <c r="Q46" i="244"/>
  <c r="A47" i="244"/>
  <c r="P47" i="244"/>
  <c r="Q47" i="244"/>
  <c r="A48" i="244"/>
  <c r="P48" i="244"/>
  <c r="Q48" i="244"/>
  <c r="A49" i="244"/>
  <c r="P49" i="244"/>
  <c r="Q49" i="244"/>
  <c r="A50" i="244"/>
  <c r="P50" i="244"/>
  <c r="Q50" i="244"/>
  <c r="A51" i="244"/>
  <c r="P51" i="244"/>
  <c r="Q51" i="244"/>
  <c r="A52" i="244"/>
  <c r="P52" i="244"/>
  <c r="Q52" i="244"/>
  <c r="L80" i="244"/>
  <c r="N80" i="244"/>
  <c r="L81" i="244"/>
  <c r="N81" i="244"/>
  <c r="L82" i="244"/>
  <c r="N82" i="244"/>
  <c r="L83" i="244"/>
  <c r="N83" i="244"/>
  <c r="L84" i="244"/>
  <c r="N84" i="244"/>
  <c r="L64" i="244"/>
  <c r="N64" i="244"/>
  <c r="L65" i="244"/>
  <c r="N65" i="244"/>
  <c r="L66" i="244"/>
  <c r="N66" i="244"/>
  <c r="L67" i="244"/>
  <c r="N67" i="244"/>
  <c r="L68" i="244"/>
  <c r="N68" i="244"/>
  <c r="P78" i="237"/>
  <c r="R78" i="237"/>
  <c r="T78" i="237"/>
  <c r="AI78" i="237"/>
  <c r="BH78" i="237" s="1"/>
  <c r="BL78" i="237"/>
  <c r="P80" i="237"/>
  <c r="R80" i="237"/>
  <c r="T80" i="237"/>
  <c r="AI80" i="237"/>
  <c r="BH80" i="237" s="1"/>
  <c r="BL80" i="237"/>
  <c r="P82" i="237"/>
  <c r="R82" i="237"/>
  <c r="T82" i="237"/>
  <c r="AI82" i="237"/>
  <c r="BH82" i="237" s="1"/>
  <c r="BL82" i="237"/>
  <c r="P84" i="237"/>
  <c r="R84" i="237"/>
  <c r="T84" i="237"/>
  <c r="AI84" i="237"/>
  <c r="BH84" i="237" s="1"/>
  <c r="BL84" i="237"/>
  <c r="P86" i="237"/>
  <c r="R86" i="237"/>
  <c r="T86" i="237"/>
  <c r="AI86" i="237"/>
  <c r="BH86" i="237" s="1"/>
  <c r="BL86" i="237"/>
  <c r="P58" i="237"/>
  <c r="R58" i="237"/>
  <c r="AI58" i="237"/>
  <c r="BH58" i="237" s="1"/>
  <c r="BL58" i="237"/>
  <c r="P60" i="237"/>
  <c r="AI60" i="237"/>
  <c r="BH60" i="237" s="1"/>
  <c r="BL60" i="237"/>
  <c r="P62" i="237"/>
  <c r="R62" i="237"/>
  <c r="BG62" i="237" s="1"/>
  <c r="AI62" i="237"/>
  <c r="BH62" i="237" s="1"/>
  <c r="BL62" i="237"/>
  <c r="P64" i="237"/>
  <c r="R64" i="237"/>
  <c r="T64" i="237"/>
  <c r="AI64" i="237"/>
  <c r="BH64" i="237" s="1"/>
  <c r="BL64" i="237"/>
  <c r="P66" i="237"/>
  <c r="R66" i="237"/>
  <c r="T66" i="237"/>
  <c r="AI66" i="237"/>
  <c r="BH66" i="237" s="1"/>
  <c r="BL66" i="237"/>
  <c r="P68" i="237"/>
  <c r="R68" i="237"/>
  <c r="T68" i="237"/>
  <c r="AI68" i="237"/>
  <c r="BH68" i="237" s="1"/>
  <c r="BL68" i="237"/>
  <c r="P70" i="237"/>
  <c r="R70" i="237"/>
  <c r="T70" i="237"/>
  <c r="AI70" i="237"/>
  <c r="BH70" i="237" s="1"/>
  <c r="BL70" i="237"/>
  <c r="P72" i="237"/>
  <c r="R72" i="237"/>
  <c r="T72" i="237"/>
  <c r="AI72" i="237"/>
  <c r="BH72" i="237" s="1"/>
  <c r="BL72" i="237"/>
  <c r="P74" i="237"/>
  <c r="R74" i="237"/>
  <c r="T74" i="237"/>
  <c r="AI74" i="237"/>
  <c r="BH74" i="237" s="1"/>
  <c r="BL74" i="237"/>
  <c r="P76" i="237"/>
  <c r="R76" i="237"/>
  <c r="T76" i="237"/>
  <c r="AI76" i="237"/>
  <c r="BH76" i="237" s="1"/>
  <c r="BL76" i="237"/>
  <c r="M64" i="108" l="1"/>
  <c r="G26" i="108" s="1"/>
  <c r="L63" i="108"/>
  <c r="F25" i="108" s="1"/>
  <c r="BK82" i="237"/>
  <c r="BK80" i="237"/>
  <c r="BK58" i="237"/>
  <c r="BK70" i="237"/>
  <c r="BK78" i="237"/>
  <c r="BK86" i="237"/>
  <c r="BK84" i="237"/>
  <c r="BK76" i="237"/>
  <c r="BK74" i="237"/>
  <c r="BK64" i="237"/>
  <c r="BK62" i="237"/>
  <c r="BK72" i="237"/>
  <c r="BK68" i="237"/>
  <c r="BK66" i="237"/>
  <c r="BA82" i="237"/>
  <c r="BB82" i="237"/>
  <c r="BA64" i="237"/>
  <c r="BB64" i="237"/>
  <c r="BA72" i="237"/>
  <c r="BB72" i="237"/>
  <c r="BA80" i="237"/>
  <c r="BB80" i="237"/>
  <c r="BA76" i="237"/>
  <c r="BB76" i="237"/>
  <c r="BA86" i="237"/>
  <c r="BB86" i="237"/>
  <c r="BA70" i="237"/>
  <c r="BB70" i="237"/>
  <c r="BA62" i="237"/>
  <c r="BB62" i="237"/>
  <c r="BA68" i="237"/>
  <c r="BB68" i="237"/>
  <c r="BA74" i="237"/>
  <c r="BB74" i="237"/>
  <c r="BA78" i="237"/>
  <c r="BB78" i="237"/>
  <c r="BA84" i="237"/>
  <c r="BB84" i="237"/>
  <c r="BA60" i="237"/>
  <c r="BB60" i="237"/>
  <c r="BA58" i="237"/>
  <c r="BB58" i="237"/>
  <c r="BA66" i="237"/>
  <c r="BB66" i="237"/>
  <c r="N45" i="244"/>
  <c r="N42" i="244"/>
  <c r="N49" i="244"/>
  <c r="N51" i="244"/>
  <c r="N40" i="244"/>
  <c r="N47" i="244"/>
  <c r="N39" i="244"/>
  <c r="N52" i="244"/>
  <c r="N48" i="244"/>
  <c r="AR68" i="237"/>
  <c r="AR86" i="237"/>
  <c r="AR80" i="237"/>
  <c r="AR74" i="237"/>
  <c r="AR76" i="237"/>
  <c r="AR70" i="237"/>
  <c r="AR64" i="237"/>
  <c r="AR58" i="237"/>
  <c r="AR82" i="237"/>
  <c r="AR72" i="237"/>
  <c r="AR66" i="237"/>
  <c r="AR84" i="237"/>
  <c r="AR78" i="237"/>
  <c r="BM80" i="237"/>
  <c r="AO82" i="237"/>
  <c r="BE74" i="237"/>
  <c r="BM68" i="237"/>
  <c r="BE66" i="237"/>
  <c r="BM76" i="237"/>
  <c r="BM70" i="237"/>
  <c r="AO62" i="237"/>
  <c r="AY62" i="237" s="1"/>
  <c r="L40" i="244" s="1"/>
  <c r="AZ84" i="237"/>
  <c r="AZ72" i="237"/>
  <c r="AO64" i="237"/>
  <c r="BE86" i="237"/>
  <c r="AO84" i="237"/>
  <c r="AY80" i="237"/>
  <c r="L49" i="244" s="1"/>
  <c r="AO80" i="237"/>
  <c r="AY84" i="237"/>
  <c r="L51" i="244" s="1"/>
  <c r="BE64" i="237"/>
  <c r="BM86" i="237"/>
  <c r="AY86" i="237"/>
  <c r="L52" i="244" s="1"/>
  <c r="BE80" i="237"/>
  <c r="BM64" i="237"/>
  <c r="AZ80" i="237"/>
  <c r="AZ66" i="237"/>
  <c r="BM58" i="237"/>
  <c r="BE68" i="237"/>
  <c r="BM78" i="237"/>
  <c r="BE76" i="237"/>
  <c r="AZ76" i="237"/>
  <c r="BE60" i="237"/>
  <c r="BE72" i="237"/>
  <c r="AO76" i="237"/>
  <c r="AO72" i="237"/>
  <c r="AZ68" i="237"/>
  <c r="AZ60" i="237"/>
  <c r="AO68" i="237"/>
  <c r="AO60" i="237"/>
  <c r="AY60" i="237" s="1"/>
  <c r="L39" i="244" s="1"/>
  <c r="AZ86" i="237"/>
  <c r="BM84" i="237"/>
  <c r="AZ78" i="237"/>
  <c r="AY78" i="237"/>
  <c r="L48" i="244" s="1"/>
  <c r="BM72" i="237"/>
  <c r="AO86" i="237"/>
  <c r="BE82" i="237"/>
  <c r="AO78" i="237"/>
  <c r="BE84" i="237"/>
  <c r="AZ82" i="237"/>
  <c r="AY82" i="237"/>
  <c r="L50" i="244" s="1"/>
  <c r="N50" i="244"/>
  <c r="BM82" i="237"/>
  <c r="BE78" i="237"/>
  <c r="AZ64" i="237"/>
  <c r="AY72" i="237"/>
  <c r="L45" i="244" s="1"/>
  <c r="AY64" i="237"/>
  <c r="L41" i="244" s="1"/>
  <c r="N41" i="244"/>
  <c r="AZ58" i="237"/>
  <c r="AY66" i="237"/>
  <c r="L42" i="244" s="1"/>
  <c r="AY58" i="237"/>
  <c r="L38" i="244" s="1"/>
  <c r="AY74" i="237"/>
  <c r="L46" i="244" s="1"/>
  <c r="N46" i="244"/>
  <c r="N38" i="244"/>
  <c r="AO58" i="237"/>
  <c r="BM66" i="237"/>
  <c r="AO66" i="237"/>
  <c r="BE62" i="237"/>
  <c r="AY76" i="237"/>
  <c r="L47" i="244" s="1"/>
  <c r="BM74" i="237"/>
  <c r="AO74" i="237"/>
  <c r="BE70" i="237"/>
  <c r="AY68" i="237"/>
  <c r="L43" i="244" s="1"/>
  <c r="N43" i="244"/>
  <c r="AZ70" i="237"/>
  <c r="AZ62" i="237"/>
  <c r="AY70" i="237"/>
  <c r="L44" i="244" s="1"/>
  <c r="AZ74" i="237"/>
  <c r="N44" i="244"/>
  <c r="AO70" i="237"/>
  <c r="BE58" i="237"/>
  <c r="Q24" i="221"/>
  <c r="Q30" i="221" s="1"/>
  <c r="Q22" i="221"/>
  <c r="Q21" i="221"/>
  <c r="Q20" i="221"/>
  <c r="Q19" i="221"/>
  <c r="Q18" i="221"/>
  <c r="Q17" i="221"/>
  <c r="Q15" i="221"/>
  <c r="Q14" i="221"/>
  <c r="Q13" i="221"/>
  <c r="Q11" i="221"/>
  <c r="Q10" i="221"/>
  <c r="AR62" i="237" l="1"/>
  <c r="BJ62" i="237" s="1"/>
  <c r="M65" i="108"/>
  <c r="G27" i="108" s="1"/>
  <c r="L64" i="108"/>
  <c r="F26" i="108" s="1"/>
  <c r="BI64" i="237"/>
  <c r="BR64" i="237" s="1"/>
  <c r="V41" i="244"/>
  <c r="C41" i="244" s="1"/>
  <c r="BI70" i="237"/>
  <c r="BR70" i="237" s="1"/>
  <c r="V44" i="244"/>
  <c r="BI76" i="237"/>
  <c r="BR76" i="237" s="1"/>
  <c r="V47" i="244"/>
  <c r="BI74" i="237"/>
  <c r="BR74" i="237" s="1"/>
  <c r="V46" i="244"/>
  <c r="BI80" i="237"/>
  <c r="BR80" i="237" s="1"/>
  <c r="V49" i="244"/>
  <c r="BI82" i="237"/>
  <c r="BR82" i="237" s="1"/>
  <c r="V50" i="244"/>
  <c r="BI86" i="237"/>
  <c r="BR86" i="237" s="1"/>
  <c r="V52" i="244"/>
  <c r="BI58" i="237"/>
  <c r="BR58" i="237" s="1"/>
  <c r="V38" i="244"/>
  <c r="BI68" i="237"/>
  <c r="BR68" i="237" s="1"/>
  <c r="V43" i="244"/>
  <c r="BI78" i="237"/>
  <c r="BR78" i="237" s="1"/>
  <c r="V48" i="244"/>
  <c r="BI84" i="237"/>
  <c r="BR84" i="237" s="1"/>
  <c r="V51" i="244"/>
  <c r="BI66" i="237"/>
  <c r="BR66" i="237" s="1"/>
  <c r="V42" i="244"/>
  <c r="BI72" i="237"/>
  <c r="BR72" i="237" s="1"/>
  <c r="V45" i="244"/>
  <c r="AK40" i="244"/>
  <c r="AK42" i="244"/>
  <c r="AK38" i="244"/>
  <c r="AK39" i="244"/>
  <c r="AK41" i="244"/>
  <c r="AV42" i="244"/>
  <c r="AJ42" i="244"/>
  <c r="AV39" i="244"/>
  <c r="AJ39" i="244"/>
  <c r="AV40" i="244"/>
  <c r="AJ40" i="244"/>
  <c r="AV38" i="244"/>
  <c r="AJ38" i="244"/>
  <c r="AV41" i="244"/>
  <c r="AJ41" i="244"/>
  <c r="BJ76" i="237"/>
  <c r="BJ82" i="237"/>
  <c r="BJ84" i="237"/>
  <c r="BJ58" i="237"/>
  <c r="BJ74" i="237"/>
  <c r="BJ70" i="237"/>
  <c r="BJ68" i="237"/>
  <c r="BJ78" i="237"/>
  <c r="BJ86" i="237"/>
  <c r="BJ72" i="237"/>
  <c r="BJ64" i="237"/>
  <c r="BJ80" i="237"/>
  <c r="BJ66" i="237"/>
  <c r="Q29" i="221"/>
  <c r="Q28" i="221"/>
  <c r="Q27" i="221"/>
  <c r="Q32" i="221"/>
  <c r="D10" i="209" s="1"/>
  <c r="BU2" i="244"/>
  <c r="FQ2" i="244"/>
  <c r="FP2" i="244"/>
  <c r="FO2" i="244"/>
  <c r="FN2" i="244"/>
  <c r="FM2" i="244"/>
  <c r="FL2" i="244"/>
  <c r="FK2" i="244"/>
  <c r="A14" i="244"/>
  <c r="G14" i="244"/>
  <c r="H14" i="244"/>
  <c r="AO14" i="244"/>
  <c r="AV14" i="244"/>
  <c r="AW14" i="244"/>
  <c r="A15" i="244"/>
  <c r="G15" i="244"/>
  <c r="H15" i="244"/>
  <c r="AO15" i="244"/>
  <c r="AV15" i="244"/>
  <c r="AW15" i="244"/>
  <c r="A16" i="244"/>
  <c r="G16" i="244"/>
  <c r="H16" i="244"/>
  <c r="AO16" i="244"/>
  <c r="AV16" i="244"/>
  <c r="AW16" i="244"/>
  <c r="BC61" i="243"/>
  <c r="BB61" i="243" s="1"/>
  <c r="BC60" i="243"/>
  <c r="AZ60" i="243" s="1"/>
  <c r="BC59" i="243"/>
  <c r="BB59" i="243" s="1"/>
  <c r="AK62" i="243"/>
  <c r="AH62" i="243"/>
  <c r="BC48" i="243"/>
  <c r="BB48" i="243" s="1"/>
  <c r="BC47" i="243"/>
  <c r="AZ47" i="243" s="1"/>
  <c r="BC46" i="243"/>
  <c r="BB46" i="243" s="1"/>
  <c r="AK49" i="243"/>
  <c r="AH49" i="243"/>
  <c r="BC35" i="243"/>
  <c r="BB35" i="243" s="1"/>
  <c r="BC34" i="243"/>
  <c r="AZ34" i="243" s="1"/>
  <c r="BC33" i="243"/>
  <c r="BB33" i="243" s="1"/>
  <c r="AH36" i="243"/>
  <c r="V40" i="244" l="1"/>
  <c r="BI62" i="237"/>
  <c r="BR62" i="237" s="1"/>
  <c r="M66" i="108"/>
  <c r="G28" i="108" s="1"/>
  <c r="L65" i="108"/>
  <c r="F27" i="108" s="1"/>
  <c r="C42" i="244"/>
  <c r="AY42" i="244" s="1"/>
  <c r="AS42" i="244" s="1" a="1"/>
  <c r="AS42" i="244" s="1"/>
  <c r="C38" i="244"/>
  <c r="B38" i="244" s="1"/>
  <c r="AY41" i="244"/>
  <c r="B41" i="244"/>
  <c r="AX41" i="244"/>
  <c r="BC45" i="243"/>
  <c r="BA45" i="243" s="1"/>
  <c r="AC45" i="243" s="1"/>
  <c r="BC58" i="243"/>
  <c r="BA58" i="243" s="1"/>
  <c r="AC58" i="243" s="1"/>
  <c r="BB58" i="243" s="1"/>
  <c r="T62" i="243"/>
  <c r="Q36" i="243"/>
  <c r="AD22" i="242"/>
  <c r="T36" i="243"/>
  <c r="BA60" i="243"/>
  <c r="BA47" i="243"/>
  <c r="T49" i="243"/>
  <c r="AZ48" i="243"/>
  <c r="BB60" i="243"/>
  <c r="BC57" i="243"/>
  <c r="AY61" i="243"/>
  <c r="AZ61" i="243"/>
  <c r="BC32" i="243"/>
  <c r="AY32" i="243" s="1"/>
  <c r="AC47" i="243"/>
  <c r="BA34" i="243"/>
  <c r="AY47" i="243"/>
  <c r="AY59" i="243"/>
  <c r="BB47" i="243"/>
  <c r="AC60" i="243"/>
  <c r="AD24" i="242"/>
  <c r="AZ59" i="243"/>
  <c r="Q62" i="243"/>
  <c r="BA61" i="243"/>
  <c r="BA59" i="243"/>
  <c r="AY60" i="243"/>
  <c r="AC59" i="243"/>
  <c r="AC61" i="243"/>
  <c r="BC44" i="243"/>
  <c r="BA44" i="243" s="1"/>
  <c r="AK36" i="243"/>
  <c r="AD20" i="242" s="1"/>
  <c r="AY33" i="243"/>
  <c r="AY35" i="243"/>
  <c r="AY48" i="243"/>
  <c r="AZ46" i="243"/>
  <c r="Q49" i="243"/>
  <c r="BA46" i="243"/>
  <c r="BA48" i="243"/>
  <c r="AY46" i="243"/>
  <c r="AC46" i="243"/>
  <c r="AC48" i="243"/>
  <c r="BA35" i="243"/>
  <c r="BC31" i="243"/>
  <c r="AZ33" i="243"/>
  <c r="AC34" i="243"/>
  <c r="BB34" i="243"/>
  <c r="AZ35" i="243"/>
  <c r="BA33" i="243"/>
  <c r="AY34" i="243"/>
  <c r="AC33" i="243"/>
  <c r="AC35" i="243"/>
  <c r="C40" i="244" l="1"/>
  <c r="B40" i="244" s="1"/>
  <c r="BM62" i="237"/>
  <c r="BM60" i="237"/>
  <c r="B42" i="244"/>
  <c r="M67" i="108"/>
  <c r="G29" i="108" s="1"/>
  <c r="L66" i="108"/>
  <c r="F28" i="108" s="1"/>
  <c r="AX42" i="244"/>
  <c r="AX38" i="244"/>
  <c r="AY38" i="244"/>
  <c r="AS41" i="244" a="1"/>
  <c r="AS41" i="244" s="1"/>
  <c r="AR41" i="244" a="1"/>
  <c r="AR41" i="244" s="1"/>
  <c r="AR42" i="244" a="1"/>
  <c r="AR42" i="244" s="1"/>
  <c r="AY58" i="243"/>
  <c r="AY45" i="243"/>
  <c r="AF20" i="242"/>
  <c r="AF24" i="242"/>
  <c r="BA32" i="243"/>
  <c r="AC32" i="243" s="1"/>
  <c r="BB32" i="243" s="1"/>
  <c r="BA57" i="243"/>
  <c r="AC57" i="243" s="1"/>
  <c r="BB57" i="243" s="1"/>
  <c r="BB62" i="243" s="1"/>
  <c r="BK24" i="242"/>
  <c r="AY57" i="243"/>
  <c r="AY44" i="243"/>
  <c r="AZ58" i="243"/>
  <c r="BK20" i="242"/>
  <c r="BK22" i="242"/>
  <c r="AF22" i="242"/>
  <c r="AZ45" i="243"/>
  <c r="BB45" i="243"/>
  <c r="BA49" i="243"/>
  <c r="AC44" i="243"/>
  <c r="BA31" i="243"/>
  <c r="AY31" i="243"/>
  <c r="AY36" i="243" s="1"/>
  <c r="X20" i="242" s="1"/>
  <c r="AM14" i="244" s="1"/>
  <c r="AY40" i="244" l="1"/>
  <c r="AS40" i="244" s="1" a="1"/>
  <c r="AS40" i="244" s="1"/>
  <c r="AX40" i="244"/>
  <c r="M68" i="108"/>
  <c r="G30" i="108" s="1"/>
  <c r="L67" i="108"/>
  <c r="F29" i="108" s="1"/>
  <c r="AS38" i="244" a="1"/>
  <c r="AS38" i="244" s="1"/>
  <c r="AR38" i="244" a="1"/>
  <c r="AR38" i="244" s="1"/>
  <c r="AY62" i="243"/>
  <c r="X24" i="242" s="1"/>
  <c r="C24" i="242" s="1"/>
  <c r="S24" i="242" s="1"/>
  <c r="AL16" i="244" s="1"/>
  <c r="BA62" i="243"/>
  <c r="AA24" i="242" s="1"/>
  <c r="AY49" i="243"/>
  <c r="X22" i="242" s="1"/>
  <c r="AM15" i="244" s="1"/>
  <c r="AZ32" i="243"/>
  <c r="AZ57" i="243"/>
  <c r="AZ62" i="243" s="1"/>
  <c r="BA36" i="243"/>
  <c r="AA20" i="242" s="1"/>
  <c r="AA22" i="242"/>
  <c r="C20" i="242"/>
  <c r="AZ44" i="243"/>
  <c r="AZ49" i="243" s="1"/>
  <c r="BB44" i="243"/>
  <c r="BB49" i="243" s="1"/>
  <c r="AC31" i="243"/>
  <c r="AR40" i="244" l="1" a="1"/>
  <c r="AR40" i="244" s="1"/>
  <c r="M69" i="108"/>
  <c r="G31" i="108" s="1"/>
  <c r="L68" i="108"/>
  <c r="F30" i="108" s="1"/>
  <c r="AM16" i="244"/>
  <c r="V24" i="242"/>
  <c r="C22" i="242"/>
  <c r="S22" i="242" s="1"/>
  <c r="AL15" i="244" s="1"/>
  <c r="I14" i="244"/>
  <c r="AS14" i="244"/>
  <c r="AS16" i="244"/>
  <c r="I16" i="244"/>
  <c r="BH24" i="242"/>
  <c r="Q24" i="242"/>
  <c r="V20" i="242"/>
  <c r="AZ31" i="243"/>
  <c r="AZ36" i="243" s="1"/>
  <c r="S20" i="242" s="1"/>
  <c r="AL14" i="244" s="1"/>
  <c r="BB31" i="243"/>
  <c r="BB36" i="243" s="1"/>
  <c r="M70" i="108" l="1"/>
  <c r="G32" i="108" s="1"/>
  <c r="L69" i="108"/>
  <c r="F31" i="108" s="1"/>
  <c r="AS15" i="244"/>
  <c r="V22" i="242"/>
  <c r="I15" i="244"/>
  <c r="BJ24" i="242"/>
  <c r="BC24" i="242"/>
  <c r="AK16" i="244" s="1"/>
  <c r="AK24" i="242"/>
  <c r="BI24" i="242" s="1"/>
  <c r="AN24" i="242"/>
  <c r="BN24" i="242" s="1"/>
  <c r="BF24" i="242"/>
  <c r="AY24" i="242"/>
  <c r="AT16" i="244" s="1"/>
  <c r="AH24" i="242"/>
  <c r="BM24" i="242"/>
  <c r="C16" i="244" s="1"/>
  <c r="B16" i="244" s="1"/>
  <c r="BB24" i="242"/>
  <c r="AJ16" i="244" s="1"/>
  <c r="BP24" i="242"/>
  <c r="BH20" i="242"/>
  <c r="Q20" i="242"/>
  <c r="BH22" i="242"/>
  <c r="Q22" i="242"/>
  <c r="M71" i="108" l="1"/>
  <c r="G33" i="108" s="1"/>
  <c r="L70" i="108"/>
  <c r="F32" i="108" s="1"/>
  <c r="BM22" i="242"/>
  <c r="C15" i="244" s="1"/>
  <c r="B15" i="244" s="1"/>
  <c r="AN22" i="242"/>
  <c r="BN22" i="242" s="1"/>
  <c r="BC20" i="242"/>
  <c r="AK14" i="244" s="1"/>
  <c r="AH20" i="242"/>
  <c r="BB20" i="242"/>
  <c r="AJ14" i="244" s="1"/>
  <c r="AK22" i="242"/>
  <c r="BF22" i="242"/>
  <c r="AY22" i="242"/>
  <c r="AT15" i="244" s="1"/>
  <c r="AH22" i="242"/>
  <c r="BC22" i="242"/>
  <c r="AK15" i="244" s="1"/>
  <c r="BB22" i="242"/>
  <c r="AJ15" i="244" s="1"/>
  <c r="BP22" i="242"/>
  <c r="BJ20" i="242"/>
  <c r="BJ22" i="242"/>
  <c r="M72" i="108" l="1"/>
  <c r="G34" i="108" s="1"/>
  <c r="L71" i="108"/>
  <c r="F33" i="108" s="1"/>
  <c r="AK20" i="242"/>
  <c r="BI22" i="242"/>
  <c r="M73" i="108" l="1"/>
  <c r="G35" i="108" s="1"/>
  <c r="L72" i="108"/>
  <c r="F34" i="108" s="1"/>
  <c r="BI20" i="242"/>
  <c r="BF20" i="242"/>
  <c r="M74" i="108" l="1"/>
  <c r="G36" i="108" s="1"/>
  <c r="L73" i="108"/>
  <c r="F35" i="108" s="1"/>
  <c r="L74" i="108" l="1"/>
  <c r="F36" i="108" s="1"/>
  <c r="BD19" i="109"/>
  <c r="BD20" i="109"/>
  <c r="BC19" i="109"/>
  <c r="BB19" i="109"/>
  <c r="BA19" i="109"/>
  <c r="AY19" i="109"/>
  <c r="AZ19" i="109"/>
  <c r="AX19" i="109"/>
  <c r="AW19" i="109"/>
  <c r="AV19" i="109"/>
  <c r="BF18" i="230" l="1"/>
  <c r="BG18" i="230"/>
  <c r="BN18" i="230" l="1"/>
  <c r="BK18" i="230"/>
  <c r="BH18" i="230"/>
  <c r="BR18" i="230" l="1"/>
  <c r="AL20" i="209" l="1"/>
  <c r="T12" i="116" l="1"/>
  <c r="DR2" i="244"/>
  <c r="F40" i="218" l="1"/>
  <c r="AR202" i="212"/>
  <c r="W202" i="212"/>
  <c r="B202" i="212"/>
  <c r="B201" i="212"/>
  <c r="B200" i="212"/>
  <c r="AR202" i="213"/>
  <c r="W202" i="213"/>
  <c r="B202" i="213"/>
  <c r="B201" i="213"/>
  <c r="B200" i="213"/>
  <c r="AR202" i="214"/>
  <c r="W202" i="214"/>
  <c r="B202" i="214"/>
  <c r="B201" i="214"/>
  <c r="B200" i="214"/>
  <c r="AR198" i="215"/>
  <c r="W198" i="215"/>
  <c r="B198" i="215"/>
  <c r="B197" i="215"/>
  <c r="B196" i="215"/>
  <c r="AR202" i="216"/>
  <c r="W202" i="216"/>
  <c r="B202" i="216"/>
  <c r="B201" i="216"/>
  <c r="B200" i="216"/>
  <c r="AR202" i="227"/>
  <c r="W202" i="227"/>
  <c r="B202" i="227"/>
  <c r="B201" i="227"/>
  <c r="B200" i="227"/>
  <c r="AR202" i="225"/>
  <c r="W202" i="225"/>
  <c r="B202" i="225"/>
  <c r="B201" i="225"/>
  <c r="B200" i="225"/>
  <c r="AR202" i="226"/>
  <c r="W202" i="226"/>
  <c r="B202" i="226"/>
  <c r="B201" i="226"/>
  <c r="B200" i="226"/>
  <c r="AR202" i="243"/>
  <c r="W202" i="243"/>
  <c r="B202" i="243"/>
  <c r="B201" i="243"/>
  <c r="B200" i="243"/>
  <c r="AR202" i="242"/>
  <c r="W202" i="242"/>
  <c r="B202" i="242"/>
  <c r="B201" i="242"/>
  <c r="B200" i="242"/>
  <c r="AR202" i="237"/>
  <c r="W202" i="237"/>
  <c r="B202" i="237"/>
  <c r="B201" i="237"/>
  <c r="B200" i="237"/>
  <c r="AR202" i="236"/>
  <c r="W202" i="236"/>
  <c r="B202" i="236"/>
  <c r="B201" i="236"/>
  <c r="B200" i="236"/>
  <c r="AR202" i="240"/>
  <c r="W202" i="240"/>
  <c r="B202" i="240"/>
  <c r="B201" i="240"/>
  <c r="B200" i="240"/>
  <c r="AR202" i="230"/>
  <c r="W202" i="230"/>
  <c r="B202" i="230"/>
  <c r="B201" i="230"/>
  <c r="B200" i="230"/>
  <c r="AR202" i="231"/>
  <c r="W202" i="231"/>
  <c r="B202" i="231"/>
  <c r="B201" i="231"/>
  <c r="B200" i="231"/>
  <c r="AR202" i="232"/>
  <c r="W202" i="232"/>
  <c r="B202" i="232"/>
  <c r="B201" i="232"/>
  <c r="B200" i="232"/>
  <c r="AR202" i="229"/>
  <c r="W202" i="229"/>
  <c r="B202" i="229"/>
  <c r="B201" i="229"/>
  <c r="B200" i="229"/>
  <c r="AR202" i="233"/>
  <c r="W202" i="233"/>
  <c r="B202" i="233"/>
  <c r="B201" i="233"/>
  <c r="B200" i="233"/>
  <c r="AR202" i="234"/>
  <c r="W202" i="234"/>
  <c r="B202" i="234"/>
  <c r="B201" i="234"/>
  <c r="B200" i="234"/>
  <c r="AR202" i="235"/>
  <c r="W202" i="235"/>
  <c r="B202" i="235"/>
  <c r="B201" i="235"/>
  <c r="B200" i="235"/>
  <c r="AR202" i="217"/>
  <c r="W202" i="217"/>
  <c r="B202" i="217"/>
  <c r="B201" i="217"/>
  <c r="B200" i="217"/>
  <c r="AR202" i="218"/>
  <c r="W202" i="218"/>
  <c r="B202" i="218"/>
  <c r="B201" i="218"/>
  <c r="B200" i="218"/>
  <c r="AR202" i="219"/>
  <c r="W202" i="219"/>
  <c r="B202" i="219"/>
  <c r="B201" i="219"/>
  <c r="B200" i="219"/>
  <c r="AR202" i="220"/>
  <c r="W202" i="220"/>
  <c r="B202" i="220"/>
  <c r="B201" i="220"/>
  <c r="B200" i="220"/>
  <c r="AR202" i="207"/>
  <c r="W202" i="207"/>
  <c r="B202" i="207"/>
  <c r="B201" i="207"/>
  <c r="B200" i="207"/>
  <c r="AR202" i="208"/>
  <c r="W202" i="208"/>
  <c r="B202" i="208"/>
  <c r="B201" i="208"/>
  <c r="B200" i="208"/>
  <c r="AR202" i="209"/>
  <c r="W202" i="209"/>
  <c r="B202" i="209"/>
  <c r="B201" i="209"/>
  <c r="B200" i="209"/>
  <c r="AR202" i="211"/>
  <c r="W202" i="211"/>
  <c r="B202" i="211"/>
  <c r="B201" i="211"/>
  <c r="B200" i="211"/>
  <c r="D9" i="109" l="1"/>
  <c r="BA52" i="237" l="1"/>
  <c r="BB52" i="237"/>
  <c r="BA48" i="237"/>
  <c r="BB48" i="237"/>
  <c r="BA38" i="237"/>
  <c r="BB38" i="237"/>
  <c r="BB50" i="237"/>
  <c r="BA50" i="237"/>
  <c r="BA42" i="237"/>
  <c r="BB42" i="237"/>
  <c r="BA36" i="237"/>
  <c r="BB36" i="237"/>
  <c r="BA54" i="237"/>
  <c r="BB54" i="237"/>
  <c r="BA46" i="237"/>
  <c r="BB46" i="237"/>
  <c r="BA40" i="237"/>
  <c r="BB40" i="237"/>
  <c r="BA56" i="237"/>
  <c r="BB56" i="237"/>
  <c r="BA32" i="237"/>
  <c r="BB32" i="237"/>
  <c r="BA44" i="237"/>
  <c r="BB44" i="237"/>
  <c r="BB34" i="237"/>
  <c r="BA34" i="237"/>
  <c r="AR40" i="237"/>
  <c r="V29" i="244" s="1"/>
  <c r="AR52" i="237"/>
  <c r="V35" i="244" s="1"/>
  <c r="AR46" i="237"/>
  <c r="V32" i="244" s="1"/>
  <c r="AH50" i="208"/>
  <c r="AB50" i="208"/>
  <c r="B5" i="221" l="1"/>
  <c r="S9" i="209"/>
  <c r="A9" i="208"/>
  <c r="A9" i="207"/>
  <c r="A9" i="220"/>
  <c r="A9" i="218"/>
  <c r="A9" i="217"/>
  <c r="B6" i="221" l="1"/>
  <c r="B3" i="221"/>
  <c r="D7" i="109" l="1"/>
  <c r="D8" i="109"/>
  <c r="M200" i="246" s="1"/>
  <c r="I62" i="210"/>
  <c r="M200" i="216" l="1"/>
  <c r="M200" i="227"/>
  <c r="M200" i="226"/>
  <c r="M200" i="243"/>
  <c r="M200" i="237"/>
  <c r="M200" i="230"/>
  <c r="M200" i="231"/>
  <c r="M200" i="234"/>
  <c r="M200" i="235"/>
  <c r="M200" i="219"/>
  <c r="M200" i="220"/>
  <c r="M200" i="208"/>
  <c r="M200" i="211"/>
  <c r="M200" i="212"/>
  <c r="M200" i="213"/>
  <c r="M200" i="214"/>
  <c r="M196" i="215"/>
  <c r="M200" i="225"/>
  <c r="M200" i="242"/>
  <c r="M200" i="236"/>
  <c r="M200" i="240"/>
  <c r="M200" i="232"/>
  <c r="M200" i="229"/>
  <c r="M200" i="233"/>
  <c r="M200" i="217"/>
  <c r="M200" i="218"/>
  <c r="M200" i="207"/>
  <c r="M200" i="209"/>
  <c r="AR202" i="210"/>
  <c r="B202" i="210"/>
  <c r="B201" i="210"/>
  <c r="B200" i="210"/>
  <c r="M200" i="210"/>
  <c r="D5" i="109"/>
  <c r="AR201" i="246" s="1"/>
  <c r="D4" i="109"/>
  <c r="W202" i="210"/>
  <c r="AP1" i="211"/>
  <c r="AL1" i="211"/>
  <c r="AP1" i="210"/>
  <c r="AL1" i="210"/>
  <c r="AR200" i="246" l="1"/>
  <c r="AR200" i="213"/>
  <c r="AR200" i="214"/>
  <c r="AR196" i="215"/>
  <c r="AR200" i="227"/>
  <c r="AR200" i="226"/>
  <c r="AR200" i="242"/>
  <c r="AR200" i="236"/>
  <c r="AR200" i="240"/>
  <c r="AR200" i="230"/>
  <c r="AR200" i="231"/>
  <c r="AR200" i="234"/>
  <c r="AR200" i="218"/>
  <c r="AR200" i="220"/>
  <c r="AR200" i="209"/>
  <c r="AR200" i="211"/>
  <c r="AR200" i="212"/>
  <c r="AR200" i="216"/>
  <c r="AR200" i="225"/>
  <c r="AR200" i="243"/>
  <c r="AR200" i="237"/>
  <c r="AR200" i="232"/>
  <c r="AR200" i="229"/>
  <c r="AR200" i="233"/>
  <c r="AR200" i="235"/>
  <c r="AR200" i="217"/>
  <c r="AR200" i="219"/>
  <c r="AR200" i="207"/>
  <c r="AR200" i="208"/>
  <c r="AR201" i="212"/>
  <c r="AR201" i="213"/>
  <c r="AR201" i="214"/>
  <c r="AR197" i="215"/>
  <c r="AR201" i="216"/>
  <c r="AR201" i="227"/>
  <c r="AR201" i="225"/>
  <c r="AR201" i="226"/>
  <c r="AR201" i="243"/>
  <c r="AR201" i="242"/>
  <c r="AR201" i="237"/>
  <c r="AR201" i="236"/>
  <c r="AR201" i="240"/>
  <c r="AR201" i="230"/>
  <c r="AR201" i="231"/>
  <c r="AR201" i="232"/>
  <c r="AR201" i="229"/>
  <c r="AR201" i="233"/>
  <c r="AR201" i="234"/>
  <c r="AR201" i="235"/>
  <c r="AR201" i="217"/>
  <c r="AR201" i="218"/>
  <c r="AR201" i="219"/>
  <c r="AR201" i="220"/>
  <c r="AR201" i="207"/>
  <c r="AR201" i="208"/>
  <c r="AR201" i="209"/>
  <c r="AR201" i="211"/>
  <c r="AR200" i="210"/>
  <c r="AR201" i="210"/>
  <c r="P62" i="210" l="1"/>
  <c r="B4" i="244"/>
  <c r="AC17" i="215" l="1"/>
  <c r="N46" i="218"/>
  <c r="F46" i="218"/>
  <c r="K53" i="215" l="1"/>
  <c r="K49" i="215"/>
  <c r="K47" i="215"/>
  <c r="AB26" i="220" l="1"/>
  <c r="AB25" i="220"/>
  <c r="AB24" i="220"/>
  <c r="AB23" i="220"/>
  <c r="AB22" i="220"/>
  <c r="O23" i="220"/>
  <c r="J20" i="220"/>
  <c r="O22" i="220"/>
  <c r="DZ2" i="244"/>
  <c r="A2" i="244"/>
  <c r="DY2" i="244"/>
  <c r="DX2" i="244"/>
  <c r="DW2" i="244"/>
  <c r="DV2" i="244"/>
  <c r="DU2" i="244"/>
  <c r="DT2" i="244"/>
  <c r="DS2" i="244"/>
  <c r="FI2" i="244"/>
  <c r="FH2" i="244"/>
  <c r="FG2" i="244"/>
  <c r="FF2" i="244"/>
  <c r="FD2" i="244"/>
  <c r="FE2" i="244"/>
  <c r="FA2" i="244"/>
  <c r="EN2" i="244"/>
  <c r="EM2" i="244"/>
  <c r="EL2" i="244"/>
  <c r="AX15" i="109"/>
  <c r="AW15" i="109"/>
  <c r="AV15" i="109"/>
  <c r="AZ14" i="109"/>
  <c r="AY14" i="109"/>
  <c r="AX14" i="109"/>
  <c r="AW14" i="109"/>
  <c r="AV14" i="109"/>
  <c r="BD13" i="109"/>
  <c r="BC13" i="109"/>
  <c r="BB13" i="109"/>
  <c r="BA13" i="109"/>
  <c r="AZ13" i="109"/>
  <c r="AY13" i="109"/>
  <c r="AX13" i="109"/>
  <c r="AW13" i="109"/>
  <c r="AV13" i="109"/>
  <c r="BD12" i="109"/>
  <c r="BC12" i="109"/>
  <c r="BB12" i="109"/>
  <c r="BA12" i="109"/>
  <c r="AZ12" i="109"/>
  <c r="AY12" i="109"/>
  <c r="AX12" i="109"/>
  <c r="AW12" i="109"/>
  <c r="AV12" i="109"/>
  <c r="AZ15" i="109"/>
  <c r="AY15" i="109"/>
  <c r="EB2" i="244"/>
  <c r="CV2" i="244"/>
  <c r="CU2" i="244"/>
  <c r="CT2" i="244"/>
  <c r="CS2" i="244"/>
  <c r="CR2" i="244"/>
  <c r="CQ2" i="244"/>
  <c r="CP2" i="244"/>
  <c r="CO2" i="244"/>
  <c r="CN2" i="244"/>
  <c r="CM2" i="244"/>
  <c r="DJ2" i="244"/>
  <c r="DI2" i="244"/>
  <c r="DH2" i="244"/>
  <c r="DG2" i="244"/>
  <c r="DF2" i="244"/>
  <c r="DD2" i="244"/>
  <c r="DC2" i="244"/>
  <c r="DB2" i="244"/>
  <c r="DA2" i="244"/>
  <c r="DQ2" i="244"/>
  <c r="DP2" i="244"/>
  <c r="CI2" i="244"/>
  <c r="CH2" i="244"/>
  <c r="CG2" i="244"/>
  <c r="CF2" i="244"/>
  <c r="CE2" i="244"/>
  <c r="CD2" i="244"/>
  <c r="CC2" i="244"/>
  <c r="CB2" i="244"/>
  <c r="CA2" i="244"/>
  <c r="BZ2" i="244"/>
  <c r="BT2" i="244"/>
  <c r="BS2" i="244"/>
  <c r="BM2" i="244"/>
  <c r="T3" i="116"/>
  <c r="T4" i="116"/>
  <c r="T5" i="116"/>
  <c r="T6" i="116"/>
  <c r="T7" i="116"/>
  <c r="T8" i="116"/>
  <c r="T9" i="116"/>
  <c r="T10" i="116"/>
  <c r="T11" i="116"/>
  <c r="T13" i="116"/>
  <c r="T14" i="116"/>
  <c r="T15" i="116"/>
  <c r="T16" i="116"/>
  <c r="T17" i="116"/>
  <c r="T18" i="116"/>
  <c r="T19" i="116"/>
  <c r="T20" i="116"/>
  <c r="T21" i="116"/>
  <c r="T22" i="116"/>
  <c r="T23" i="116"/>
  <c r="T24" i="116"/>
  <c r="T25" i="116"/>
  <c r="T26" i="116"/>
  <c r="T27" i="116"/>
  <c r="T28" i="116"/>
  <c r="T29" i="116"/>
  <c r="T30" i="116"/>
  <c r="T31" i="116"/>
  <c r="T32" i="116"/>
  <c r="T33" i="116"/>
  <c r="T34" i="116"/>
  <c r="T35" i="116"/>
  <c r="T36" i="116"/>
  <c r="T37" i="116"/>
  <c r="AS182" i="244"/>
  <c r="AK182" i="244"/>
  <c r="AJ182" i="244"/>
  <c r="AL18" i="235"/>
  <c r="O24" i="221" s="1"/>
  <c r="H13" i="244"/>
  <c r="AW13" i="244"/>
  <c r="AV13" i="244"/>
  <c r="AO13" i="244"/>
  <c r="G13" i="244"/>
  <c r="A13" i="244"/>
  <c r="A7" i="244"/>
  <c r="H7" i="244"/>
  <c r="AO7" i="244"/>
  <c r="A8" i="244"/>
  <c r="H8" i="244"/>
  <c r="AO8" i="244"/>
  <c r="A9" i="244"/>
  <c r="H9" i="244"/>
  <c r="AO9" i="244"/>
  <c r="A10" i="244"/>
  <c r="H10" i="244"/>
  <c r="AO10" i="244"/>
  <c r="A11" i="244"/>
  <c r="H11" i="244"/>
  <c r="AO11" i="244"/>
  <c r="AO6" i="244"/>
  <c r="H6" i="244"/>
  <c r="A6" i="244"/>
  <c r="A167" i="244" l="1"/>
  <c r="AO167" i="244"/>
  <c r="AQ167" i="244"/>
  <c r="AR167" i="244"/>
  <c r="AS167" i="244"/>
  <c r="A168" i="244"/>
  <c r="AO168" i="244"/>
  <c r="AQ168" i="244"/>
  <c r="AR168" i="244"/>
  <c r="AS168" i="244"/>
  <c r="A169" i="244"/>
  <c r="AO169" i="244"/>
  <c r="AQ169" i="244"/>
  <c r="AR169" i="244"/>
  <c r="AS169" i="244"/>
  <c r="A170" i="244"/>
  <c r="C170" i="244"/>
  <c r="B170" i="244" s="1"/>
  <c r="G170" i="244"/>
  <c r="AI170" i="244"/>
  <c r="AJ170" i="244"/>
  <c r="AK170" i="244"/>
  <c r="AO170" i="244"/>
  <c r="AQ170" i="244"/>
  <c r="AR170" i="244"/>
  <c r="AS170" i="244"/>
  <c r="AT170" i="244"/>
  <c r="AU170" i="244"/>
  <c r="AV170" i="244"/>
  <c r="AW170" i="244"/>
  <c r="A171" i="244"/>
  <c r="C171" i="244"/>
  <c r="B171" i="244" s="1"/>
  <c r="G171" i="244"/>
  <c r="AI171" i="244"/>
  <c r="AJ171" i="244"/>
  <c r="AK171" i="244"/>
  <c r="AO171" i="244"/>
  <c r="AQ171" i="244"/>
  <c r="AR171" i="244"/>
  <c r="AS171" i="244"/>
  <c r="AT171" i="244"/>
  <c r="AU171" i="244"/>
  <c r="AV171" i="244"/>
  <c r="AW171" i="244"/>
  <c r="A172" i="244"/>
  <c r="C172" i="244"/>
  <c r="B172" i="244" s="1"/>
  <c r="G172" i="244"/>
  <c r="AI172" i="244"/>
  <c r="AJ172" i="244"/>
  <c r="AK172" i="244"/>
  <c r="AO172" i="244"/>
  <c r="AQ172" i="244"/>
  <c r="AR172" i="244"/>
  <c r="AS172" i="244"/>
  <c r="AT172" i="244"/>
  <c r="AU172" i="244"/>
  <c r="AV172" i="244"/>
  <c r="AW172" i="244"/>
  <c r="A173" i="244"/>
  <c r="C173" i="244"/>
  <c r="B173" i="244" s="1"/>
  <c r="G173" i="244"/>
  <c r="AI173" i="244"/>
  <c r="AJ173" i="244"/>
  <c r="AK173" i="244"/>
  <c r="AO173" i="244"/>
  <c r="AQ173" i="244"/>
  <c r="AR173" i="244"/>
  <c r="AS173" i="244"/>
  <c r="AT173" i="244"/>
  <c r="AU173" i="244"/>
  <c r="AV173" i="244"/>
  <c r="AW173" i="244"/>
  <c r="A174" i="244"/>
  <c r="C174" i="244"/>
  <c r="B174" i="244" s="1"/>
  <c r="G174" i="244"/>
  <c r="AI174" i="244"/>
  <c r="AJ174" i="244"/>
  <c r="AK174" i="244"/>
  <c r="AO174" i="244"/>
  <c r="AQ174" i="244"/>
  <c r="AR174" i="244"/>
  <c r="AS174" i="244"/>
  <c r="AT174" i="244"/>
  <c r="AU174" i="244"/>
  <c r="AV174" i="244"/>
  <c r="AW174" i="244"/>
  <c r="A175" i="244"/>
  <c r="C175" i="244"/>
  <c r="B175" i="244" s="1"/>
  <c r="G175" i="244"/>
  <c r="AI175" i="244"/>
  <c r="AJ175" i="244"/>
  <c r="AK175" i="244"/>
  <c r="AO175" i="244"/>
  <c r="AQ175" i="244"/>
  <c r="AR175" i="244"/>
  <c r="AS175" i="244"/>
  <c r="AT175" i="244"/>
  <c r="AU175" i="244"/>
  <c r="AV175" i="244"/>
  <c r="AW175" i="244"/>
  <c r="A176" i="244"/>
  <c r="C176" i="244"/>
  <c r="B176" i="244" s="1"/>
  <c r="G176" i="244"/>
  <c r="AI176" i="244"/>
  <c r="AJ176" i="244"/>
  <c r="AK176" i="244"/>
  <c r="AO176" i="244"/>
  <c r="AQ176" i="244"/>
  <c r="AR176" i="244"/>
  <c r="AS176" i="244"/>
  <c r="AT176" i="244"/>
  <c r="AU176" i="244"/>
  <c r="AV176" i="244"/>
  <c r="AW176" i="244"/>
  <c r="A177" i="244"/>
  <c r="C177" i="244"/>
  <c r="B177" i="244" s="1"/>
  <c r="G177" i="244"/>
  <c r="AI177" i="244"/>
  <c r="AJ177" i="244"/>
  <c r="AK177" i="244"/>
  <c r="AO177" i="244"/>
  <c r="AQ177" i="244"/>
  <c r="AR177" i="244"/>
  <c r="AS177" i="244"/>
  <c r="AT177" i="244"/>
  <c r="AU177" i="244"/>
  <c r="AV177" i="244"/>
  <c r="AW177" i="244"/>
  <c r="A178" i="244"/>
  <c r="C178" i="244"/>
  <c r="B178" i="244" s="1"/>
  <c r="G178" i="244"/>
  <c r="AI178" i="244"/>
  <c r="AJ178" i="244"/>
  <c r="AK178" i="244"/>
  <c r="AO178" i="244"/>
  <c r="AQ178" i="244"/>
  <c r="AR178" i="244"/>
  <c r="AS178" i="244"/>
  <c r="AT178" i="244"/>
  <c r="AU178" i="244"/>
  <c r="AV178" i="244"/>
  <c r="AW178" i="244"/>
  <c r="A179" i="244"/>
  <c r="C179" i="244"/>
  <c r="B179" i="244" s="1"/>
  <c r="G179" i="244"/>
  <c r="AI179" i="244"/>
  <c r="AJ179" i="244"/>
  <c r="AK179" i="244"/>
  <c r="AO179" i="244"/>
  <c r="AQ179" i="244"/>
  <c r="AR179" i="244"/>
  <c r="AS179" i="244"/>
  <c r="AT179" i="244"/>
  <c r="AU179" i="244"/>
  <c r="AV179" i="244"/>
  <c r="AW179" i="244"/>
  <c r="A180" i="244"/>
  <c r="C180" i="244"/>
  <c r="B180" i="244" s="1"/>
  <c r="G180" i="244"/>
  <c r="AI180" i="244"/>
  <c r="AJ180" i="244"/>
  <c r="AK180" i="244"/>
  <c r="AO180" i="244"/>
  <c r="AQ180" i="244"/>
  <c r="AR180" i="244"/>
  <c r="AS180" i="244"/>
  <c r="AT180" i="244"/>
  <c r="AU180" i="244"/>
  <c r="AV180" i="244"/>
  <c r="AW180" i="244"/>
  <c r="AS166" i="244"/>
  <c r="AR166" i="244"/>
  <c r="AQ166" i="244"/>
  <c r="AO166" i="244"/>
  <c r="A166" i="244"/>
  <c r="A151" i="244"/>
  <c r="AO151" i="244"/>
  <c r="AQ151" i="244"/>
  <c r="AR151" i="244"/>
  <c r="AS151" i="244"/>
  <c r="A152" i="244"/>
  <c r="AO152" i="244"/>
  <c r="AQ152" i="244"/>
  <c r="AR152" i="244"/>
  <c r="AS152" i="244"/>
  <c r="A153" i="244"/>
  <c r="AO153" i="244"/>
  <c r="AQ153" i="244"/>
  <c r="AR153" i="244"/>
  <c r="AS153" i="244"/>
  <c r="A154" i="244"/>
  <c r="AO154" i="244"/>
  <c r="AQ154" i="244"/>
  <c r="AR154" i="244"/>
  <c r="AS154" i="244"/>
  <c r="A155" i="244"/>
  <c r="AO155" i="244"/>
  <c r="AQ155" i="244"/>
  <c r="AR155" i="244"/>
  <c r="AS155" i="244"/>
  <c r="A156" i="244"/>
  <c r="AO156" i="244"/>
  <c r="AQ156" i="244"/>
  <c r="AR156" i="244"/>
  <c r="AS156" i="244"/>
  <c r="A157" i="244"/>
  <c r="AO157" i="244"/>
  <c r="AQ157" i="244"/>
  <c r="AR157" i="244"/>
  <c r="AS157" i="244"/>
  <c r="A158" i="244"/>
  <c r="AO158" i="244"/>
  <c r="AQ158" i="244"/>
  <c r="AR158" i="244"/>
  <c r="AS158" i="244"/>
  <c r="A159" i="244"/>
  <c r="AO159" i="244"/>
  <c r="AQ159" i="244"/>
  <c r="AR159" i="244"/>
  <c r="AS159" i="244"/>
  <c r="A160" i="244"/>
  <c r="C160" i="244"/>
  <c r="B160" i="244" s="1"/>
  <c r="G160" i="244"/>
  <c r="AI160" i="244"/>
  <c r="AJ160" i="244"/>
  <c r="AK160" i="244"/>
  <c r="AO160" i="244"/>
  <c r="AQ160" i="244"/>
  <c r="AR160" i="244"/>
  <c r="AS160" i="244"/>
  <c r="AT160" i="244"/>
  <c r="AU160" i="244"/>
  <c r="AV160" i="244"/>
  <c r="AW160" i="244"/>
  <c r="A161" i="244"/>
  <c r="C161" i="244"/>
  <c r="B161" i="244" s="1"/>
  <c r="G161" i="244"/>
  <c r="AI161" i="244"/>
  <c r="AJ161" i="244"/>
  <c r="AK161" i="244"/>
  <c r="AO161" i="244"/>
  <c r="AQ161" i="244"/>
  <c r="AR161" i="244"/>
  <c r="AS161" i="244"/>
  <c r="AT161" i="244"/>
  <c r="AU161" i="244"/>
  <c r="AV161" i="244"/>
  <c r="AW161" i="244"/>
  <c r="A162" i="244"/>
  <c r="C162" i="244"/>
  <c r="B162" i="244" s="1"/>
  <c r="G162" i="244"/>
  <c r="AI162" i="244"/>
  <c r="AJ162" i="244"/>
  <c r="AK162" i="244"/>
  <c r="AO162" i="244"/>
  <c r="AQ162" i="244"/>
  <c r="AR162" i="244"/>
  <c r="AS162" i="244"/>
  <c r="AT162" i="244"/>
  <c r="AU162" i="244"/>
  <c r="AV162" i="244"/>
  <c r="AW162" i="244"/>
  <c r="A163" i="244"/>
  <c r="C163" i="244"/>
  <c r="B163" i="244" s="1"/>
  <c r="G163" i="244"/>
  <c r="AI163" i="244"/>
  <c r="AJ163" i="244"/>
  <c r="AK163" i="244"/>
  <c r="AO163" i="244"/>
  <c r="AQ163" i="244"/>
  <c r="AR163" i="244"/>
  <c r="AS163" i="244"/>
  <c r="AT163" i="244"/>
  <c r="AU163" i="244"/>
  <c r="AV163" i="244"/>
  <c r="AW163" i="244"/>
  <c r="A164" i="244"/>
  <c r="C164" i="244"/>
  <c r="B164" i="244" s="1"/>
  <c r="G164" i="244"/>
  <c r="AI164" i="244"/>
  <c r="AJ164" i="244"/>
  <c r="AK164" i="244"/>
  <c r="AO164" i="244"/>
  <c r="AQ164" i="244"/>
  <c r="AR164" i="244"/>
  <c r="AS164" i="244"/>
  <c r="AT164" i="244"/>
  <c r="AU164" i="244"/>
  <c r="AV164" i="244"/>
  <c r="AW164" i="244"/>
  <c r="AS150" i="244"/>
  <c r="AR150" i="244"/>
  <c r="AQ150" i="244"/>
  <c r="AO150" i="244"/>
  <c r="AW148" i="244"/>
  <c r="AV148" i="244"/>
  <c r="AU148" i="244"/>
  <c r="AT148" i="244"/>
  <c r="AS148" i="244"/>
  <c r="AR148" i="244"/>
  <c r="AQ148" i="244"/>
  <c r="AO148" i="244"/>
  <c r="AK148" i="244"/>
  <c r="AJ148" i="244"/>
  <c r="AI148" i="244"/>
  <c r="G148" i="244"/>
  <c r="C148" i="244"/>
  <c r="B148" i="244" s="1"/>
  <c r="AW147" i="244"/>
  <c r="AV147" i="244"/>
  <c r="AU147" i="244"/>
  <c r="AT147" i="244"/>
  <c r="AS147" i="244"/>
  <c r="AR147" i="244"/>
  <c r="AQ147" i="244"/>
  <c r="AO147" i="244"/>
  <c r="AK147" i="244"/>
  <c r="AJ147" i="244"/>
  <c r="AI147" i="244"/>
  <c r="G147" i="244"/>
  <c r="C147" i="244"/>
  <c r="AW146" i="244"/>
  <c r="AV146" i="244"/>
  <c r="AU146" i="244"/>
  <c r="AT146" i="244"/>
  <c r="AS146" i="244"/>
  <c r="AR146" i="244"/>
  <c r="AQ146" i="244"/>
  <c r="AO146" i="244"/>
  <c r="AK146" i="244"/>
  <c r="AJ146" i="244"/>
  <c r="AI146" i="244"/>
  <c r="G146" i="244"/>
  <c r="C146" i="244"/>
  <c r="B146" i="244" s="1"/>
  <c r="AW145" i="244"/>
  <c r="AV145" i="244"/>
  <c r="AU145" i="244"/>
  <c r="AT145" i="244"/>
  <c r="AS145" i="244"/>
  <c r="AR145" i="244"/>
  <c r="AQ145" i="244"/>
  <c r="AO145" i="244"/>
  <c r="AK145" i="244"/>
  <c r="AJ145" i="244"/>
  <c r="AI145" i="244"/>
  <c r="G145" i="244"/>
  <c r="C145" i="244"/>
  <c r="B145" i="244" s="1"/>
  <c r="AW144" i="244"/>
  <c r="AV144" i="244"/>
  <c r="AU144" i="244"/>
  <c r="AT144" i="244"/>
  <c r="AS144" i="244"/>
  <c r="AR144" i="244"/>
  <c r="AQ144" i="244"/>
  <c r="AO144" i="244"/>
  <c r="AK144" i="244"/>
  <c r="AJ144" i="244"/>
  <c r="AI144" i="244"/>
  <c r="G144" i="244"/>
  <c r="C144" i="244"/>
  <c r="B144" i="244" s="1"/>
  <c r="AS143" i="244"/>
  <c r="AR143" i="244"/>
  <c r="AQ143" i="244"/>
  <c r="AO143" i="244"/>
  <c r="AS142" i="244"/>
  <c r="AR142" i="244"/>
  <c r="AQ142" i="244"/>
  <c r="AO142" i="244"/>
  <c r="AS141" i="244"/>
  <c r="AR141" i="244"/>
  <c r="AQ141" i="244"/>
  <c r="AO141" i="244"/>
  <c r="AS140" i="244"/>
  <c r="AR140" i="244"/>
  <c r="AQ140" i="244"/>
  <c r="AO140" i="244"/>
  <c r="AS139" i="244"/>
  <c r="AR139" i="244"/>
  <c r="AQ139" i="244"/>
  <c r="AO139" i="244"/>
  <c r="AS138" i="244"/>
  <c r="AR138" i="244"/>
  <c r="AQ138" i="244"/>
  <c r="AO138" i="244"/>
  <c r="AS137" i="244"/>
  <c r="AR137" i="244"/>
  <c r="AQ137" i="244"/>
  <c r="AO137" i="244"/>
  <c r="AS136" i="244"/>
  <c r="AR136" i="244"/>
  <c r="AQ136" i="244"/>
  <c r="AO136" i="244"/>
  <c r="AS135" i="244"/>
  <c r="AR135" i="244"/>
  <c r="AQ135" i="244"/>
  <c r="AO135" i="244"/>
  <c r="AS134" i="244"/>
  <c r="AR134" i="244"/>
  <c r="AQ134" i="244"/>
  <c r="AO134" i="244"/>
  <c r="A150" i="244"/>
  <c r="A135" i="244"/>
  <c r="A136" i="244"/>
  <c r="A137" i="244"/>
  <c r="A138" i="244"/>
  <c r="A139" i="244"/>
  <c r="A140" i="244"/>
  <c r="A141" i="244"/>
  <c r="A142" i="244"/>
  <c r="A143" i="244"/>
  <c r="A144" i="244"/>
  <c r="A145" i="244"/>
  <c r="A146" i="244"/>
  <c r="A147" i="244"/>
  <c r="A148" i="244"/>
  <c r="AW132" i="244"/>
  <c r="AV132" i="244"/>
  <c r="AU132" i="244"/>
  <c r="AT132" i="244"/>
  <c r="AS132" i="244"/>
  <c r="AR132" i="244"/>
  <c r="AQ132" i="244"/>
  <c r="AO132" i="244"/>
  <c r="AK132" i="244"/>
  <c r="AJ132" i="244"/>
  <c r="AI132" i="244"/>
  <c r="G132" i="244"/>
  <c r="C132" i="244"/>
  <c r="B132" i="244" s="1"/>
  <c r="AW131" i="244"/>
  <c r="AV131" i="244"/>
  <c r="AU131" i="244"/>
  <c r="AT131" i="244"/>
  <c r="AS131" i="244"/>
  <c r="AR131" i="244"/>
  <c r="AQ131" i="244"/>
  <c r="AO131" i="244"/>
  <c r="AK131" i="244"/>
  <c r="AJ131" i="244"/>
  <c r="AI131" i="244"/>
  <c r="G131" i="244"/>
  <c r="C131" i="244"/>
  <c r="B131" i="244" s="1"/>
  <c r="AW130" i="244"/>
  <c r="AV130" i="244"/>
  <c r="AU130" i="244"/>
  <c r="AT130" i="244"/>
  <c r="AS130" i="244"/>
  <c r="AR130" i="244"/>
  <c r="AQ130" i="244"/>
  <c r="AO130" i="244"/>
  <c r="AK130" i="244"/>
  <c r="AJ130" i="244"/>
  <c r="AI130" i="244"/>
  <c r="G130" i="244"/>
  <c r="C130" i="244"/>
  <c r="B130" i="244" s="1"/>
  <c r="AW129" i="244"/>
  <c r="AV129" i="244"/>
  <c r="AU129" i="244"/>
  <c r="AT129" i="244"/>
  <c r="AS129" i="244"/>
  <c r="AR129" i="244"/>
  <c r="AQ129" i="244"/>
  <c r="AO129" i="244"/>
  <c r="AK129" i="244"/>
  <c r="AJ129" i="244"/>
  <c r="AI129" i="244"/>
  <c r="G129" i="244"/>
  <c r="C129" i="244"/>
  <c r="B129" i="244" s="1"/>
  <c r="AW128" i="244"/>
  <c r="AV128" i="244"/>
  <c r="AU128" i="244"/>
  <c r="AT128" i="244"/>
  <c r="AS128" i="244"/>
  <c r="AR128" i="244"/>
  <c r="AQ128" i="244"/>
  <c r="AO128" i="244"/>
  <c r="AK128" i="244"/>
  <c r="AJ128" i="244"/>
  <c r="AI128" i="244"/>
  <c r="G128" i="244"/>
  <c r="C128" i="244"/>
  <c r="B128" i="244" s="1"/>
  <c r="AS127" i="244"/>
  <c r="AR127" i="244"/>
  <c r="AQ127" i="244"/>
  <c r="AO127" i="244"/>
  <c r="AS126" i="244"/>
  <c r="AR126" i="244"/>
  <c r="AQ126" i="244"/>
  <c r="AO126" i="244"/>
  <c r="AS125" i="244"/>
  <c r="AR125" i="244"/>
  <c r="AQ125" i="244"/>
  <c r="AO125" i="244"/>
  <c r="AS124" i="244"/>
  <c r="AR124" i="244"/>
  <c r="AQ124" i="244"/>
  <c r="AO124" i="244"/>
  <c r="AS123" i="244"/>
  <c r="AR123" i="244"/>
  <c r="AQ123" i="244"/>
  <c r="AO123" i="244"/>
  <c r="AS122" i="244"/>
  <c r="AR122" i="244"/>
  <c r="AQ122" i="244"/>
  <c r="AO122" i="244"/>
  <c r="AS121" i="244"/>
  <c r="AR121" i="244"/>
  <c r="AQ121" i="244"/>
  <c r="AO121" i="244"/>
  <c r="AS120" i="244"/>
  <c r="AR120" i="244"/>
  <c r="AQ120" i="244"/>
  <c r="AO120" i="244"/>
  <c r="AS119" i="244"/>
  <c r="AR119" i="244"/>
  <c r="AQ119" i="244"/>
  <c r="AO119" i="244"/>
  <c r="AS118" i="244"/>
  <c r="AR118" i="244"/>
  <c r="AQ118" i="244"/>
  <c r="AO118" i="244"/>
  <c r="A134" i="244"/>
  <c r="A119" i="244"/>
  <c r="A120" i="244"/>
  <c r="A121" i="244"/>
  <c r="A122" i="244"/>
  <c r="A123" i="244"/>
  <c r="A124" i="244"/>
  <c r="A125" i="244"/>
  <c r="A126" i="244"/>
  <c r="A127" i="244"/>
  <c r="A128" i="244"/>
  <c r="A129" i="244"/>
  <c r="A130" i="244"/>
  <c r="A131" i="244"/>
  <c r="A132" i="244"/>
  <c r="AW116" i="244"/>
  <c r="AV116" i="244"/>
  <c r="AU116" i="244"/>
  <c r="AT116" i="244"/>
  <c r="AS116" i="244"/>
  <c r="AR116" i="244"/>
  <c r="AQ116" i="244"/>
  <c r="AO116" i="244"/>
  <c r="AK116" i="244"/>
  <c r="AJ116" i="244"/>
  <c r="AI116" i="244"/>
  <c r="G116" i="244"/>
  <c r="C116" i="244"/>
  <c r="AW115" i="244"/>
  <c r="AV115" i="244"/>
  <c r="AU115" i="244"/>
  <c r="AT115" i="244"/>
  <c r="AS115" i="244"/>
  <c r="AR115" i="244"/>
  <c r="AQ115" i="244"/>
  <c r="AO115" i="244"/>
  <c r="AK115" i="244"/>
  <c r="AJ115" i="244"/>
  <c r="AI115" i="244"/>
  <c r="G115" i="244"/>
  <c r="C115" i="244"/>
  <c r="B115" i="244" s="1"/>
  <c r="AW114" i="244"/>
  <c r="AV114" i="244"/>
  <c r="AU114" i="244"/>
  <c r="AT114" i="244"/>
  <c r="AS114" i="244"/>
  <c r="AR114" i="244"/>
  <c r="AQ114" i="244"/>
  <c r="AO114" i="244"/>
  <c r="AK114" i="244"/>
  <c r="AJ114" i="244"/>
  <c r="AI114" i="244"/>
  <c r="G114" i="244"/>
  <c r="C114" i="244"/>
  <c r="B114" i="244" s="1"/>
  <c r="AW113" i="244"/>
  <c r="AV113" i="244"/>
  <c r="AU113" i="244"/>
  <c r="AT113" i="244"/>
  <c r="AS113" i="244"/>
  <c r="AR113" i="244"/>
  <c r="AQ113" i="244"/>
  <c r="AO113" i="244"/>
  <c r="AK113" i="244"/>
  <c r="AJ113" i="244"/>
  <c r="AI113" i="244"/>
  <c r="G113" i="244"/>
  <c r="C113" i="244"/>
  <c r="B113" i="244" s="1"/>
  <c r="AW112" i="244"/>
  <c r="AV112" i="244"/>
  <c r="AU112" i="244"/>
  <c r="AT112" i="244"/>
  <c r="AS112" i="244"/>
  <c r="AR112" i="244"/>
  <c r="AQ112" i="244"/>
  <c r="AO112" i="244"/>
  <c r="AK112" i="244"/>
  <c r="AJ112" i="244"/>
  <c r="AI112" i="244"/>
  <c r="G112" i="244"/>
  <c r="C112" i="244"/>
  <c r="B112" i="244" s="1"/>
  <c r="AS111" i="244"/>
  <c r="AR111" i="244"/>
  <c r="AQ111" i="244"/>
  <c r="AO111" i="244"/>
  <c r="AS110" i="244"/>
  <c r="AR110" i="244"/>
  <c r="AQ110" i="244"/>
  <c r="AO110" i="244"/>
  <c r="AS109" i="244"/>
  <c r="AR109" i="244"/>
  <c r="AQ109" i="244"/>
  <c r="AO109" i="244"/>
  <c r="AS108" i="244"/>
  <c r="AR108" i="244"/>
  <c r="AQ108" i="244"/>
  <c r="AO108" i="244"/>
  <c r="AS107" i="244"/>
  <c r="AR107" i="244"/>
  <c r="AQ107" i="244"/>
  <c r="AO107" i="244"/>
  <c r="AS106" i="244"/>
  <c r="AR106" i="244"/>
  <c r="AQ106" i="244"/>
  <c r="AO106" i="244"/>
  <c r="AS105" i="244"/>
  <c r="AR105" i="244"/>
  <c r="AQ105" i="244"/>
  <c r="AO105" i="244"/>
  <c r="AS104" i="244"/>
  <c r="AR104" i="244"/>
  <c r="AQ104" i="244"/>
  <c r="AO104" i="244"/>
  <c r="AS103" i="244"/>
  <c r="AR103" i="244"/>
  <c r="AQ103" i="244"/>
  <c r="AO103" i="244"/>
  <c r="AS102" i="244"/>
  <c r="AR102" i="244"/>
  <c r="AQ102" i="244"/>
  <c r="AO102" i="244"/>
  <c r="A118" i="244"/>
  <c r="G96" i="244"/>
  <c r="G97" i="244"/>
  <c r="G98" i="244"/>
  <c r="G99" i="244"/>
  <c r="G100" i="244"/>
  <c r="A103" i="244"/>
  <c r="A104" i="244"/>
  <c r="A105" i="244"/>
  <c r="A106" i="244"/>
  <c r="A107" i="244"/>
  <c r="A108" i="244"/>
  <c r="A109" i="244"/>
  <c r="A110" i="244"/>
  <c r="A111" i="244"/>
  <c r="A112" i="244"/>
  <c r="A113" i="244"/>
  <c r="A114" i="244"/>
  <c r="A115" i="244"/>
  <c r="A116" i="244"/>
  <c r="A87" i="244"/>
  <c r="AO87" i="244"/>
  <c r="AQ87" i="244"/>
  <c r="AR87" i="244"/>
  <c r="AS87" i="244"/>
  <c r="A88" i="244"/>
  <c r="AO88" i="244"/>
  <c r="AQ88" i="244"/>
  <c r="AR88" i="244"/>
  <c r="AS88" i="244"/>
  <c r="A89" i="244"/>
  <c r="AO89" i="244"/>
  <c r="AQ89" i="244"/>
  <c r="AR89" i="244"/>
  <c r="AS89" i="244"/>
  <c r="A90" i="244"/>
  <c r="AO90" i="244"/>
  <c r="AQ90" i="244"/>
  <c r="AR90" i="244"/>
  <c r="AS90" i="244"/>
  <c r="A91" i="244"/>
  <c r="AO91" i="244"/>
  <c r="AQ91" i="244"/>
  <c r="AR91" i="244"/>
  <c r="AS91" i="244"/>
  <c r="A92" i="244"/>
  <c r="AO92" i="244"/>
  <c r="AQ92" i="244"/>
  <c r="AR92" i="244"/>
  <c r="AS92" i="244"/>
  <c r="A93" i="244"/>
  <c r="AO93" i="244"/>
  <c r="AQ93" i="244"/>
  <c r="AR93" i="244"/>
  <c r="AS93" i="244"/>
  <c r="A94" i="244"/>
  <c r="AO94" i="244"/>
  <c r="AQ94" i="244"/>
  <c r="AR94" i="244"/>
  <c r="AS94" i="244"/>
  <c r="A95" i="244"/>
  <c r="AO95" i="244"/>
  <c r="AQ95" i="244"/>
  <c r="AR95" i="244"/>
  <c r="AS95" i="244"/>
  <c r="A96" i="244"/>
  <c r="C96" i="244"/>
  <c r="B96" i="244" s="1"/>
  <c r="AI96" i="244"/>
  <c r="AJ96" i="244"/>
  <c r="AK96" i="244"/>
  <c r="AO96" i="244"/>
  <c r="AQ96" i="244"/>
  <c r="AR96" i="244"/>
  <c r="AS96" i="244"/>
  <c r="AT96" i="244"/>
  <c r="AU96" i="244"/>
  <c r="AV96" i="244"/>
  <c r="AW96" i="244"/>
  <c r="A97" i="244"/>
  <c r="C97" i="244"/>
  <c r="B97" i="244" s="1"/>
  <c r="AI97" i="244"/>
  <c r="AJ97" i="244"/>
  <c r="AK97" i="244"/>
  <c r="AO97" i="244"/>
  <c r="AQ97" i="244"/>
  <c r="AR97" i="244"/>
  <c r="AS97" i="244"/>
  <c r="AT97" i="244"/>
  <c r="AU97" i="244"/>
  <c r="AV97" i="244"/>
  <c r="AW97" i="244"/>
  <c r="A98" i="244"/>
  <c r="C98" i="244"/>
  <c r="B98" i="244" s="1"/>
  <c r="AI98" i="244"/>
  <c r="AJ98" i="244"/>
  <c r="AK98" i="244"/>
  <c r="AO98" i="244"/>
  <c r="AQ98" i="244"/>
  <c r="AR98" i="244"/>
  <c r="AS98" i="244"/>
  <c r="AT98" i="244"/>
  <c r="AU98" i="244"/>
  <c r="AV98" i="244"/>
  <c r="AW98" i="244"/>
  <c r="A99" i="244"/>
  <c r="C99" i="244"/>
  <c r="B99" i="244" s="1"/>
  <c r="AI99" i="244"/>
  <c r="AJ99" i="244"/>
  <c r="AK99" i="244"/>
  <c r="AO99" i="244"/>
  <c r="AQ99" i="244"/>
  <c r="AR99" i="244"/>
  <c r="AS99" i="244"/>
  <c r="AT99" i="244"/>
  <c r="AU99" i="244"/>
  <c r="AV99" i="244"/>
  <c r="AW99" i="244"/>
  <c r="A100" i="244"/>
  <c r="C100" i="244"/>
  <c r="B100" i="244" s="1"/>
  <c r="AI100" i="244"/>
  <c r="AJ100" i="244"/>
  <c r="AK100" i="244"/>
  <c r="AO100" i="244"/>
  <c r="AQ100" i="244"/>
  <c r="AR100" i="244"/>
  <c r="AS100" i="244"/>
  <c r="AT100" i="244"/>
  <c r="AU100" i="244"/>
  <c r="AV100" i="244"/>
  <c r="AW100" i="244"/>
  <c r="A102" i="244"/>
  <c r="AS86" i="244"/>
  <c r="AR86" i="244"/>
  <c r="AQ86" i="244"/>
  <c r="AO86" i="244"/>
  <c r="A71" i="244"/>
  <c r="P71" i="244"/>
  <c r="Q71" i="244"/>
  <c r="U71" i="244"/>
  <c r="AO71" i="244"/>
  <c r="AQ71" i="244"/>
  <c r="A72" i="244"/>
  <c r="P72" i="244"/>
  <c r="Q72" i="244"/>
  <c r="U72" i="244"/>
  <c r="AO72" i="244"/>
  <c r="AQ72" i="244"/>
  <c r="A73" i="244"/>
  <c r="P73" i="244"/>
  <c r="Q73" i="244"/>
  <c r="U73" i="244"/>
  <c r="AO73" i="244"/>
  <c r="AQ73" i="244"/>
  <c r="A74" i="244"/>
  <c r="P74" i="244"/>
  <c r="Q74" i="244"/>
  <c r="U74" i="244"/>
  <c r="AO74" i="244"/>
  <c r="AQ74" i="244"/>
  <c r="A75" i="244"/>
  <c r="P75" i="244"/>
  <c r="Q75" i="244"/>
  <c r="U75" i="244"/>
  <c r="AO75" i="244"/>
  <c r="AQ75" i="244"/>
  <c r="A76" i="244"/>
  <c r="P76" i="244"/>
  <c r="Q76" i="244"/>
  <c r="U76" i="244"/>
  <c r="AO76" i="244"/>
  <c r="AQ76" i="244"/>
  <c r="A77" i="244"/>
  <c r="P77" i="244"/>
  <c r="Q77" i="244"/>
  <c r="U77" i="244"/>
  <c r="AO77" i="244"/>
  <c r="AQ77" i="244"/>
  <c r="A78" i="244"/>
  <c r="P78" i="244"/>
  <c r="Q78" i="244"/>
  <c r="U78" i="244"/>
  <c r="AO78" i="244"/>
  <c r="AQ78" i="244"/>
  <c r="A79" i="244"/>
  <c r="P79" i="244"/>
  <c r="Q79" i="244"/>
  <c r="U79" i="244"/>
  <c r="AO79" i="244"/>
  <c r="AQ79" i="244"/>
  <c r="A80" i="244"/>
  <c r="G80" i="244"/>
  <c r="P80" i="244"/>
  <c r="Q80" i="244"/>
  <c r="R80" i="244"/>
  <c r="S80" i="244"/>
  <c r="T80" i="244"/>
  <c r="U80" i="244"/>
  <c r="C80" i="244"/>
  <c r="AJ80" i="244"/>
  <c r="AK80" i="244"/>
  <c r="AO80" i="244"/>
  <c r="AQ80" i="244"/>
  <c r="AV80" i="244"/>
  <c r="A81" i="244"/>
  <c r="G81" i="244"/>
  <c r="P81" i="244"/>
  <c r="Q81" i="244"/>
  <c r="R81" i="244"/>
  <c r="S81" i="244"/>
  <c r="T81" i="244"/>
  <c r="U81" i="244"/>
  <c r="C81" i="244"/>
  <c r="AJ81" i="244"/>
  <c r="AK81" i="244"/>
  <c r="AO81" i="244"/>
  <c r="AQ81" i="244"/>
  <c r="AV81" i="244"/>
  <c r="A82" i="244"/>
  <c r="G82" i="244"/>
  <c r="P82" i="244"/>
  <c r="Q82" i="244"/>
  <c r="R82" i="244"/>
  <c r="S82" i="244"/>
  <c r="T82" i="244"/>
  <c r="U82" i="244"/>
  <c r="C82" i="244"/>
  <c r="AJ82" i="244"/>
  <c r="AK82" i="244"/>
  <c r="AO82" i="244"/>
  <c r="AQ82" i="244"/>
  <c r="AV82" i="244"/>
  <c r="A83" i="244"/>
  <c r="G83" i="244"/>
  <c r="P83" i="244"/>
  <c r="Q83" i="244"/>
  <c r="R83" i="244"/>
  <c r="S83" i="244"/>
  <c r="T83" i="244"/>
  <c r="U83" i="244"/>
  <c r="C83" i="244"/>
  <c r="AJ83" i="244"/>
  <c r="AK83" i="244"/>
  <c r="AO83" i="244"/>
  <c r="AQ83" i="244"/>
  <c r="AV83" i="244"/>
  <c r="A84" i="244"/>
  <c r="G84" i="244"/>
  <c r="P84" i="244"/>
  <c r="Q84" i="244"/>
  <c r="R84" i="244"/>
  <c r="S84" i="244"/>
  <c r="T84" i="244"/>
  <c r="U84" i="244"/>
  <c r="C84" i="244"/>
  <c r="AJ84" i="244"/>
  <c r="AK84" i="244"/>
  <c r="AO84" i="244"/>
  <c r="AQ84" i="244"/>
  <c r="AV84" i="244"/>
  <c r="AQ70" i="244"/>
  <c r="AO70" i="244"/>
  <c r="U70" i="244"/>
  <c r="Q70" i="244"/>
  <c r="P70" i="244"/>
  <c r="A55" i="244"/>
  <c r="P55" i="244"/>
  <c r="Q55" i="244"/>
  <c r="U55" i="244"/>
  <c r="AO55" i="244"/>
  <c r="AQ55" i="244"/>
  <c r="A56" i="244"/>
  <c r="P56" i="244"/>
  <c r="Q56" i="244"/>
  <c r="U56" i="244"/>
  <c r="AO56" i="244"/>
  <c r="AQ56" i="244"/>
  <c r="A57" i="244"/>
  <c r="P57" i="244"/>
  <c r="Q57" i="244"/>
  <c r="U57" i="244"/>
  <c r="AO57" i="244"/>
  <c r="AQ57" i="244"/>
  <c r="A58" i="244"/>
  <c r="P58" i="244"/>
  <c r="Q58" i="244"/>
  <c r="U58" i="244"/>
  <c r="AO58" i="244"/>
  <c r="AQ58" i="244"/>
  <c r="A59" i="244"/>
  <c r="P59" i="244"/>
  <c r="Q59" i="244"/>
  <c r="U59" i="244"/>
  <c r="AO59" i="244"/>
  <c r="AQ59" i="244"/>
  <c r="A60" i="244"/>
  <c r="P60" i="244"/>
  <c r="Q60" i="244"/>
  <c r="U60" i="244"/>
  <c r="AO60" i="244"/>
  <c r="AQ60" i="244"/>
  <c r="A61" i="244"/>
  <c r="P61" i="244"/>
  <c r="Q61" i="244"/>
  <c r="U61" i="244"/>
  <c r="AO61" i="244"/>
  <c r="AQ61" i="244"/>
  <c r="A62" i="244"/>
  <c r="P62" i="244"/>
  <c r="Q62" i="244"/>
  <c r="U62" i="244"/>
  <c r="AO62" i="244"/>
  <c r="AQ62" i="244"/>
  <c r="A63" i="244"/>
  <c r="P63" i="244"/>
  <c r="Q63" i="244"/>
  <c r="U63" i="244"/>
  <c r="AO63" i="244"/>
  <c r="AQ63" i="244"/>
  <c r="A64" i="244"/>
  <c r="G64" i="244"/>
  <c r="P64" i="244"/>
  <c r="Q64" i="244"/>
  <c r="R64" i="244"/>
  <c r="S64" i="244"/>
  <c r="T64" i="244"/>
  <c r="U64" i="244"/>
  <c r="C64" i="244"/>
  <c r="B64" i="244" s="1"/>
  <c r="AJ64" i="244"/>
  <c r="AK64" i="244"/>
  <c r="AO64" i="244"/>
  <c r="AQ64" i="244"/>
  <c r="AV64" i="244"/>
  <c r="A65" i="244"/>
  <c r="G65" i="244"/>
  <c r="P65" i="244"/>
  <c r="Q65" i="244"/>
  <c r="R65" i="244"/>
  <c r="S65" i="244"/>
  <c r="T65" i="244"/>
  <c r="U65" i="244"/>
  <c r="C65" i="244"/>
  <c r="B65" i="244" s="1"/>
  <c r="AJ65" i="244"/>
  <c r="AK65" i="244"/>
  <c r="AO65" i="244"/>
  <c r="AQ65" i="244"/>
  <c r="AV65" i="244"/>
  <c r="A66" i="244"/>
  <c r="G66" i="244"/>
  <c r="P66" i="244"/>
  <c r="Q66" i="244"/>
  <c r="R66" i="244"/>
  <c r="S66" i="244"/>
  <c r="T66" i="244"/>
  <c r="U66" i="244"/>
  <c r="C66" i="244"/>
  <c r="B66" i="244" s="1"/>
  <c r="AJ66" i="244"/>
  <c r="AK66" i="244"/>
  <c r="AO66" i="244"/>
  <c r="AQ66" i="244"/>
  <c r="AV66" i="244"/>
  <c r="A67" i="244"/>
  <c r="G67" i="244"/>
  <c r="P67" i="244"/>
  <c r="Q67" i="244"/>
  <c r="R67" i="244"/>
  <c r="S67" i="244"/>
  <c r="T67" i="244"/>
  <c r="U67" i="244"/>
  <c r="C67" i="244"/>
  <c r="B67" i="244" s="1"/>
  <c r="AJ67" i="244"/>
  <c r="AK67" i="244"/>
  <c r="AO67" i="244"/>
  <c r="AQ67" i="244"/>
  <c r="AV67" i="244"/>
  <c r="A68" i="244"/>
  <c r="G68" i="244"/>
  <c r="P68" i="244"/>
  <c r="Q68" i="244"/>
  <c r="R68" i="244"/>
  <c r="S68" i="244"/>
  <c r="T68" i="244"/>
  <c r="U68" i="244"/>
  <c r="C68" i="244"/>
  <c r="B68" i="244" s="1"/>
  <c r="AJ68" i="244"/>
  <c r="AK68" i="244"/>
  <c r="AO68" i="244"/>
  <c r="AQ68" i="244"/>
  <c r="AV68" i="244"/>
  <c r="AQ54" i="244"/>
  <c r="AO54" i="244"/>
  <c r="U54" i="244"/>
  <c r="Q54" i="244"/>
  <c r="P54" i="244"/>
  <c r="A19" i="244"/>
  <c r="P19" i="244"/>
  <c r="Q19" i="244"/>
  <c r="AO19" i="244"/>
  <c r="AQ19" i="244"/>
  <c r="A20" i="244"/>
  <c r="P20" i="244"/>
  <c r="Q20" i="244"/>
  <c r="AO20" i="244"/>
  <c r="AQ20" i="244"/>
  <c r="A21" i="244"/>
  <c r="P21" i="244"/>
  <c r="Q21" i="244"/>
  <c r="AO21" i="244"/>
  <c r="AQ21" i="244"/>
  <c r="A22" i="244"/>
  <c r="P22" i="244"/>
  <c r="Q22" i="244"/>
  <c r="AO22" i="244"/>
  <c r="AQ22" i="244"/>
  <c r="A23" i="244"/>
  <c r="P23" i="244"/>
  <c r="Q23" i="244"/>
  <c r="AO23" i="244"/>
  <c r="AQ23" i="244"/>
  <c r="A24" i="244"/>
  <c r="P24" i="244"/>
  <c r="Q24" i="244"/>
  <c r="AO24" i="244"/>
  <c r="AQ24" i="244"/>
  <c r="A25" i="244"/>
  <c r="P25" i="244"/>
  <c r="Q25" i="244"/>
  <c r="AO25" i="244"/>
  <c r="AQ25" i="244"/>
  <c r="A26" i="244"/>
  <c r="P26" i="244"/>
  <c r="Q26" i="244"/>
  <c r="AO26" i="244"/>
  <c r="AQ26" i="244"/>
  <c r="A27" i="244"/>
  <c r="P27" i="244"/>
  <c r="Q27" i="244"/>
  <c r="AO27" i="244"/>
  <c r="AQ27" i="244"/>
  <c r="A28" i="244"/>
  <c r="P28" i="244"/>
  <c r="Q28" i="244"/>
  <c r="AO28" i="244"/>
  <c r="AQ28" i="244"/>
  <c r="A29" i="244"/>
  <c r="P29" i="244"/>
  <c r="Q29" i="244"/>
  <c r="AO29" i="244"/>
  <c r="AQ29" i="244"/>
  <c r="A30" i="244"/>
  <c r="P30" i="244"/>
  <c r="Q30" i="244"/>
  <c r="AO30" i="244"/>
  <c r="AQ30" i="244"/>
  <c r="A31" i="244"/>
  <c r="P31" i="244"/>
  <c r="Q31" i="244"/>
  <c r="AO31" i="244"/>
  <c r="AQ31" i="244"/>
  <c r="A32" i="244"/>
  <c r="P32" i="244"/>
  <c r="Q32" i="244"/>
  <c r="AO32" i="244"/>
  <c r="AQ32" i="244"/>
  <c r="AJ43" i="244"/>
  <c r="AK43" i="244"/>
  <c r="AO43" i="244"/>
  <c r="AQ43" i="244"/>
  <c r="AJ44" i="244"/>
  <c r="AK44" i="244"/>
  <c r="AO44" i="244"/>
  <c r="AQ44" i="244"/>
  <c r="AJ45" i="244"/>
  <c r="AK45" i="244"/>
  <c r="AO45" i="244"/>
  <c r="AQ45" i="244"/>
  <c r="AJ46" i="244"/>
  <c r="AK46" i="244"/>
  <c r="AO46" i="244"/>
  <c r="AQ46" i="244"/>
  <c r="AJ47" i="244"/>
  <c r="AK47" i="244"/>
  <c r="AO47" i="244"/>
  <c r="AQ47" i="244"/>
  <c r="R48" i="244"/>
  <c r="S48" i="244"/>
  <c r="T48" i="244"/>
  <c r="U48" i="244"/>
  <c r="C48" i="244"/>
  <c r="AJ48" i="244"/>
  <c r="AK48" i="244"/>
  <c r="AO48" i="244"/>
  <c r="AQ48" i="244"/>
  <c r="AV48" i="244"/>
  <c r="R49" i="244"/>
  <c r="S49" i="244"/>
  <c r="T49" i="244"/>
  <c r="U49" i="244"/>
  <c r="C49" i="244"/>
  <c r="AJ49" i="244"/>
  <c r="AK49" i="244"/>
  <c r="AO49" i="244"/>
  <c r="AQ49" i="244"/>
  <c r="AV49" i="244"/>
  <c r="R50" i="244"/>
  <c r="S50" i="244"/>
  <c r="T50" i="244"/>
  <c r="U50" i="244"/>
  <c r="C50" i="244"/>
  <c r="AJ50" i="244"/>
  <c r="AK50" i="244"/>
  <c r="AO50" i="244"/>
  <c r="AQ50" i="244"/>
  <c r="AV50" i="244"/>
  <c r="R51" i="244"/>
  <c r="S51" i="244"/>
  <c r="T51" i="244"/>
  <c r="U51" i="244"/>
  <c r="C51" i="244"/>
  <c r="AJ51" i="244"/>
  <c r="AK51" i="244"/>
  <c r="AO51" i="244"/>
  <c r="AQ51" i="244"/>
  <c r="AV51" i="244"/>
  <c r="R52" i="244"/>
  <c r="S52" i="244"/>
  <c r="T52" i="244"/>
  <c r="U52" i="244"/>
  <c r="C52" i="244"/>
  <c r="AJ52" i="244"/>
  <c r="AK52" i="244"/>
  <c r="AO52" i="244"/>
  <c r="AQ52" i="244"/>
  <c r="AV52" i="244"/>
  <c r="AQ18" i="244"/>
  <c r="AO18" i="244"/>
  <c r="Q18" i="244"/>
  <c r="P18" i="244"/>
  <c r="A4" i="244"/>
  <c r="A182" i="244"/>
  <c r="A86" i="244"/>
  <c r="A70" i="244"/>
  <c r="A54" i="244"/>
  <c r="A18" i="244"/>
  <c r="B52" i="244" l="1"/>
  <c r="AY52" i="244"/>
  <c r="AS52" i="244" s="1" a="1"/>
  <c r="AS52" i="244" s="1"/>
  <c r="B50" i="244"/>
  <c r="AY50" i="244"/>
  <c r="AS50" i="244" s="1" a="1"/>
  <c r="AS50" i="244" s="1"/>
  <c r="B49" i="244"/>
  <c r="AY49" i="244"/>
  <c r="AS49" i="244" s="1" a="1"/>
  <c r="AS49" i="244" s="1"/>
  <c r="B48" i="244"/>
  <c r="AY48" i="244"/>
  <c r="AS48" i="244" s="1" a="1"/>
  <c r="AS48" i="244" s="1"/>
  <c r="B51" i="244"/>
  <c r="AY51" i="244"/>
  <c r="AS51" i="244" s="1" a="1"/>
  <c r="AS51" i="244" s="1"/>
  <c r="AG100" i="244"/>
  <c r="T100" i="244"/>
  <c r="AG98" i="244"/>
  <c r="T98" i="244"/>
  <c r="AG162" i="244"/>
  <c r="T162" i="244"/>
  <c r="AG178" i="244"/>
  <c r="T178" i="244"/>
  <c r="AG172" i="244"/>
  <c r="T172" i="244"/>
  <c r="AG96" i="244"/>
  <c r="T96" i="244"/>
  <c r="AG97" i="244"/>
  <c r="T97" i="244"/>
  <c r="AG161" i="244"/>
  <c r="T161" i="244"/>
  <c r="AG177" i="244"/>
  <c r="T177" i="244"/>
  <c r="AG171" i="244"/>
  <c r="T171" i="244"/>
  <c r="AG112" i="244"/>
  <c r="T112" i="244"/>
  <c r="AG128" i="244"/>
  <c r="T128" i="244"/>
  <c r="AG144" i="244"/>
  <c r="T144" i="244"/>
  <c r="AG113" i="244"/>
  <c r="T113" i="244"/>
  <c r="AG129" i="244"/>
  <c r="T129" i="244"/>
  <c r="AG145" i="244"/>
  <c r="T145" i="244"/>
  <c r="AG160" i="244"/>
  <c r="T160" i="244"/>
  <c r="AG176" i="244"/>
  <c r="T176" i="244"/>
  <c r="AG170" i="244"/>
  <c r="T170" i="244"/>
  <c r="AG114" i="244"/>
  <c r="T114" i="244"/>
  <c r="AG130" i="244"/>
  <c r="T130" i="244"/>
  <c r="AG146" i="244"/>
  <c r="T146" i="244"/>
  <c r="AG115" i="244"/>
  <c r="T115" i="244"/>
  <c r="AG131" i="244"/>
  <c r="T131" i="244"/>
  <c r="AG147" i="244"/>
  <c r="T147" i="244"/>
  <c r="AG175" i="244"/>
  <c r="T175" i="244"/>
  <c r="AG116" i="244"/>
  <c r="T116" i="244"/>
  <c r="AG132" i="244"/>
  <c r="T132" i="244"/>
  <c r="AG148" i="244"/>
  <c r="T148" i="244"/>
  <c r="AG164" i="244"/>
  <c r="T164" i="244"/>
  <c r="AG180" i="244"/>
  <c r="T180" i="244"/>
  <c r="AG174" i="244"/>
  <c r="T174" i="244"/>
  <c r="AG99" i="244"/>
  <c r="T99" i="244"/>
  <c r="AG163" i="244"/>
  <c r="T163" i="244"/>
  <c r="AG179" i="244"/>
  <c r="T179" i="244"/>
  <c r="AG173" i="244"/>
  <c r="T173" i="244"/>
  <c r="Q178" i="244"/>
  <c r="AC178" i="244"/>
  <c r="AD178" i="244"/>
  <c r="P178" i="244"/>
  <c r="Q172" i="244"/>
  <c r="AD172" i="244"/>
  <c r="AC172" i="244"/>
  <c r="P172" i="244"/>
  <c r="AC177" i="244"/>
  <c r="AD177" i="244"/>
  <c r="P177" i="244"/>
  <c r="Q177" i="244"/>
  <c r="AC171" i="244"/>
  <c r="P171" i="244"/>
  <c r="Q171" i="244"/>
  <c r="AD171" i="244"/>
  <c r="Q176" i="244"/>
  <c r="P176" i="244"/>
  <c r="AC176" i="244"/>
  <c r="AD176" i="244"/>
  <c r="P170" i="244"/>
  <c r="Q170" i="244"/>
  <c r="AC170" i="244"/>
  <c r="AD170" i="244"/>
  <c r="AC175" i="244"/>
  <c r="AD175" i="244"/>
  <c r="P175" i="244"/>
  <c r="Q175" i="244"/>
  <c r="AC180" i="244"/>
  <c r="AD180" i="244"/>
  <c r="P180" i="244"/>
  <c r="Q180" i="244"/>
  <c r="AC174" i="244"/>
  <c r="AD174" i="244"/>
  <c r="P174" i="244"/>
  <c r="Q174" i="244"/>
  <c r="AC179" i="244"/>
  <c r="AD179" i="244"/>
  <c r="P179" i="244"/>
  <c r="Q179" i="244"/>
  <c r="AD173" i="244"/>
  <c r="P173" i="244"/>
  <c r="AC173" i="244"/>
  <c r="Q173" i="244"/>
  <c r="Q162" i="244"/>
  <c r="P162" i="244"/>
  <c r="AC162" i="244"/>
  <c r="AD162" i="244"/>
  <c r="P161" i="244"/>
  <c r="Q161" i="244"/>
  <c r="AD161" i="244"/>
  <c r="AC161" i="244"/>
  <c r="P160" i="244"/>
  <c r="Q160" i="244"/>
  <c r="AC160" i="244"/>
  <c r="AD160" i="244"/>
  <c r="AC164" i="244"/>
  <c r="Q164" i="244"/>
  <c r="P164" i="244"/>
  <c r="AD164" i="244"/>
  <c r="P163" i="244"/>
  <c r="Q163" i="244"/>
  <c r="AC163" i="244"/>
  <c r="AD163" i="244"/>
  <c r="AC144" i="244"/>
  <c r="AD144" i="244"/>
  <c r="P144" i="244"/>
  <c r="Q144" i="244"/>
  <c r="P145" i="244"/>
  <c r="Q145" i="244"/>
  <c r="AC145" i="244"/>
  <c r="AD145" i="244"/>
  <c r="AC146" i="244"/>
  <c r="AD146" i="244"/>
  <c r="Q146" i="244"/>
  <c r="P146" i="244"/>
  <c r="AD147" i="244"/>
  <c r="AC147" i="244"/>
  <c r="P147" i="244"/>
  <c r="Q147" i="244"/>
  <c r="AC148" i="244"/>
  <c r="AD148" i="244"/>
  <c r="P148" i="244"/>
  <c r="Q148" i="244"/>
  <c r="Q128" i="244"/>
  <c r="P128" i="244"/>
  <c r="AC128" i="244"/>
  <c r="AD128" i="244"/>
  <c r="AD129" i="244"/>
  <c r="P129" i="244"/>
  <c r="AC129" i="244"/>
  <c r="Q129" i="244"/>
  <c r="Q130" i="244"/>
  <c r="AC130" i="244"/>
  <c r="AD130" i="244"/>
  <c r="P130" i="244"/>
  <c r="P131" i="244"/>
  <c r="AC131" i="244"/>
  <c r="Q131" i="244"/>
  <c r="AD131" i="244"/>
  <c r="P132" i="244"/>
  <c r="AD132" i="244"/>
  <c r="Q132" i="244"/>
  <c r="AC132" i="244"/>
  <c r="Q112" i="244"/>
  <c r="AC112" i="244"/>
  <c r="AD112" i="244"/>
  <c r="P112" i="244"/>
  <c r="AD113" i="244"/>
  <c r="P113" i="244"/>
  <c r="Q113" i="244"/>
  <c r="AC113" i="244"/>
  <c r="AD114" i="244"/>
  <c r="P114" i="244"/>
  <c r="AC114" i="244"/>
  <c r="Q114" i="244"/>
  <c r="Q115" i="244"/>
  <c r="AC115" i="244"/>
  <c r="AD115" i="244"/>
  <c r="P115" i="244"/>
  <c r="AD116" i="244"/>
  <c r="P116" i="244"/>
  <c r="Q116" i="244"/>
  <c r="AC116" i="244"/>
  <c r="O98" i="244"/>
  <c r="AD98" i="244"/>
  <c r="P98" i="244"/>
  <c r="Q98" i="244"/>
  <c r="AC98" i="244"/>
  <c r="O97" i="244"/>
  <c r="P97" i="244"/>
  <c r="Q97" i="244"/>
  <c r="AC97" i="244"/>
  <c r="AD97" i="244"/>
  <c r="O96" i="244"/>
  <c r="Q96" i="244"/>
  <c r="P96" i="244"/>
  <c r="AC96" i="244"/>
  <c r="AD96" i="244"/>
  <c r="O100" i="244"/>
  <c r="Q100" i="244"/>
  <c r="AC100" i="244"/>
  <c r="AD100" i="244"/>
  <c r="P100" i="244"/>
  <c r="O99" i="244"/>
  <c r="AC99" i="244"/>
  <c r="AD99" i="244"/>
  <c r="P99" i="244"/>
  <c r="Q99" i="244"/>
  <c r="L162" i="244"/>
  <c r="N162" i="244"/>
  <c r="O162" i="244"/>
  <c r="L178" i="244"/>
  <c r="N178" i="244"/>
  <c r="O178" i="244"/>
  <c r="L161" i="244"/>
  <c r="N161" i="244"/>
  <c r="O161" i="244"/>
  <c r="L177" i="244"/>
  <c r="N177" i="244"/>
  <c r="O177" i="244"/>
  <c r="L171" i="244"/>
  <c r="N171" i="244"/>
  <c r="O171" i="244"/>
  <c r="L128" i="244"/>
  <c r="N128" i="244"/>
  <c r="O128" i="244"/>
  <c r="L144" i="244"/>
  <c r="N144" i="244"/>
  <c r="O144" i="244"/>
  <c r="L172" i="244"/>
  <c r="N172" i="244"/>
  <c r="O172" i="244"/>
  <c r="L129" i="244"/>
  <c r="N129" i="244"/>
  <c r="O129" i="244"/>
  <c r="L145" i="244"/>
  <c r="N145" i="244"/>
  <c r="O145" i="244"/>
  <c r="L160" i="244"/>
  <c r="N160" i="244"/>
  <c r="O160" i="244"/>
  <c r="L176" i="244"/>
  <c r="N176" i="244"/>
  <c r="O176" i="244"/>
  <c r="L170" i="244"/>
  <c r="N170" i="244"/>
  <c r="O170" i="244"/>
  <c r="L130" i="244"/>
  <c r="N130" i="244"/>
  <c r="O130" i="244"/>
  <c r="L146" i="244"/>
  <c r="N146" i="244"/>
  <c r="O146" i="244"/>
  <c r="L131" i="244"/>
  <c r="N131" i="244"/>
  <c r="O131" i="244"/>
  <c r="L147" i="244"/>
  <c r="N147" i="244"/>
  <c r="O147" i="244"/>
  <c r="L175" i="244"/>
  <c r="N175" i="244"/>
  <c r="O175" i="244"/>
  <c r="L132" i="244"/>
  <c r="N132" i="244"/>
  <c r="O132" i="244"/>
  <c r="L148" i="244"/>
  <c r="N148" i="244"/>
  <c r="O148" i="244"/>
  <c r="L164" i="244"/>
  <c r="N164" i="244"/>
  <c r="O164" i="244"/>
  <c r="L180" i="244"/>
  <c r="N180" i="244"/>
  <c r="O180" i="244"/>
  <c r="L174" i="244"/>
  <c r="N174" i="244"/>
  <c r="O174" i="244"/>
  <c r="L163" i="244"/>
  <c r="N163" i="244"/>
  <c r="O163" i="244"/>
  <c r="L179" i="244"/>
  <c r="N179" i="244"/>
  <c r="O179" i="244"/>
  <c r="L173" i="244"/>
  <c r="N173" i="244"/>
  <c r="O173" i="244"/>
  <c r="N98" i="244"/>
  <c r="L98" i="244"/>
  <c r="L112" i="244"/>
  <c r="N112" i="244"/>
  <c r="O112" i="244"/>
  <c r="L113" i="244"/>
  <c r="N113" i="244"/>
  <c r="O113" i="244"/>
  <c r="L96" i="244"/>
  <c r="N96" i="244"/>
  <c r="L114" i="244"/>
  <c r="N114" i="244"/>
  <c r="O114" i="244"/>
  <c r="L97" i="244"/>
  <c r="N97" i="244"/>
  <c r="N115" i="244"/>
  <c r="L115" i="244"/>
  <c r="O115" i="244"/>
  <c r="L116" i="244"/>
  <c r="N116" i="244"/>
  <c r="O116" i="244"/>
  <c r="L100" i="244"/>
  <c r="N100" i="244"/>
  <c r="L99" i="244"/>
  <c r="N99" i="244"/>
  <c r="AA180" i="244"/>
  <c r="AB180" i="244"/>
  <c r="AA178" i="244"/>
  <c r="AB178" i="244"/>
  <c r="AA176" i="244"/>
  <c r="AB176" i="244"/>
  <c r="AA174" i="244"/>
  <c r="AB174" i="244"/>
  <c r="AA172" i="244"/>
  <c r="AB172" i="244"/>
  <c r="AB170" i="244"/>
  <c r="AA170" i="244"/>
  <c r="AA179" i="244"/>
  <c r="AB179" i="244"/>
  <c r="AA177" i="244"/>
  <c r="AB177" i="244"/>
  <c r="AA175" i="244"/>
  <c r="AB175" i="244"/>
  <c r="AA173" i="244"/>
  <c r="AB173" i="244"/>
  <c r="AA171" i="244"/>
  <c r="AB171" i="244"/>
  <c r="AA164" i="244"/>
  <c r="AB164" i="244"/>
  <c r="AA162" i="244"/>
  <c r="AB162" i="244"/>
  <c r="AA160" i="244"/>
  <c r="AB160" i="244"/>
  <c r="AA163" i="244"/>
  <c r="AB163" i="244"/>
  <c r="AA161" i="244"/>
  <c r="AB161" i="244"/>
  <c r="AA144" i="244"/>
  <c r="AB144" i="244"/>
  <c r="AA145" i="244"/>
  <c r="AB145" i="244"/>
  <c r="AH148" i="244"/>
  <c r="AA148" i="244"/>
  <c r="AB148" i="244"/>
  <c r="AH146" i="244"/>
  <c r="AA146" i="244"/>
  <c r="AB146" i="244"/>
  <c r="AF147" i="244"/>
  <c r="AA147" i="244"/>
  <c r="AB147" i="244"/>
  <c r="AH128" i="244"/>
  <c r="AA128" i="244"/>
  <c r="AB128" i="244"/>
  <c r="AH132" i="244"/>
  <c r="AA132" i="244"/>
  <c r="AB132" i="244"/>
  <c r="AF130" i="244"/>
  <c r="AA130" i="244"/>
  <c r="AB130" i="244"/>
  <c r="AF129" i="244"/>
  <c r="AA129" i="244"/>
  <c r="AB129" i="244"/>
  <c r="AF131" i="244"/>
  <c r="AA131" i="244"/>
  <c r="AB131" i="244"/>
  <c r="AH116" i="244"/>
  <c r="AB116" i="244"/>
  <c r="AA116" i="244"/>
  <c r="AA113" i="244"/>
  <c r="AB113" i="244"/>
  <c r="AH114" i="244"/>
  <c r="AB114" i="244"/>
  <c r="AA114" i="244"/>
  <c r="AH112" i="244"/>
  <c r="AA112" i="244"/>
  <c r="AB112" i="244"/>
  <c r="AA115" i="244"/>
  <c r="AB115" i="244"/>
  <c r="AA97" i="244"/>
  <c r="AB97" i="244"/>
  <c r="AB99" i="244"/>
  <c r="AA99" i="244"/>
  <c r="AA98" i="244"/>
  <c r="AB98" i="244"/>
  <c r="AA100" i="244"/>
  <c r="AB100" i="244"/>
  <c r="AA96" i="244"/>
  <c r="AB96" i="244"/>
  <c r="AF178" i="244"/>
  <c r="B80" i="244"/>
  <c r="AX80" i="244"/>
  <c r="U116" i="244"/>
  <c r="AF97" i="244"/>
  <c r="AF180" i="244"/>
  <c r="S130" i="244"/>
  <c r="AH145" i="244"/>
  <c r="S114" i="244"/>
  <c r="AF176" i="244"/>
  <c r="U114" i="244"/>
  <c r="S145" i="244"/>
  <c r="S116" i="244"/>
  <c r="S131" i="244"/>
  <c r="AF145" i="244"/>
  <c r="V97" i="244"/>
  <c r="Y130" i="244"/>
  <c r="Y131" i="244"/>
  <c r="AH179" i="244"/>
  <c r="AH177" i="244"/>
  <c r="U176" i="244"/>
  <c r="V173" i="244"/>
  <c r="AH131" i="244"/>
  <c r="V145" i="244"/>
  <c r="AF179" i="244"/>
  <c r="AF177" i="244"/>
  <c r="V172" i="244"/>
  <c r="AH180" i="244"/>
  <c r="AH178" i="244"/>
  <c r="AH176" i="244"/>
  <c r="AH174" i="244"/>
  <c r="AH173" i="244"/>
  <c r="AH170" i="244"/>
  <c r="B84" i="244"/>
  <c r="AX84" i="244"/>
  <c r="S129" i="244"/>
  <c r="S132" i="244"/>
  <c r="U128" i="244"/>
  <c r="Y129" i="244"/>
  <c r="U132" i="244"/>
  <c r="S144" i="244"/>
  <c r="V148" i="244"/>
  <c r="V180" i="244"/>
  <c r="V179" i="244"/>
  <c r="V178" i="244"/>
  <c r="V177" i="244"/>
  <c r="AH175" i="244"/>
  <c r="AH171" i="244"/>
  <c r="S128" i="244"/>
  <c r="S113" i="244"/>
  <c r="AF113" i="244"/>
  <c r="V128" i="244"/>
  <c r="AF128" i="244"/>
  <c r="U130" i="244"/>
  <c r="AH130" i="244"/>
  <c r="V132" i="244"/>
  <c r="AF132" i="244"/>
  <c r="Y145" i="244"/>
  <c r="S147" i="244"/>
  <c r="U180" i="244"/>
  <c r="U179" i="244"/>
  <c r="U178" i="244"/>
  <c r="U177" i="244"/>
  <c r="V176" i="244"/>
  <c r="V174" i="244"/>
  <c r="AH172" i="244"/>
  <c r="V170" i="244"/>
  <c r="Y113" i="244"/>
  <c r="U148" i="244"/>
  <c r="V112" i="244"/>
  <c r="V113" i="244"/>
  <c r="AH113" i="244"/>
  <c r="Y128" i="244"/>
  <c r="AH129" i="244"/>
  <c r="Y132" i="244"/>
  <c r="V146" i="244"/>
  <c r="Y147" i="244"/>
  <c r="S148" i="244"/>
  <c r="AF148" i="244"/>
  <c r="V175" i="244"/>
  <c r="V171" i="244"/>
  <c r="V99" i="244"/>
  <c r="V100" i="244"/>
  <c r="V96" i="244"/>
  <c r="U98" i="244"/>
  <c r="U99" i="244"/>
  <c r="AF98" i="244"/>
  <c r="U100" i="244"/>
  <c r="AF99" i="244"/>
  <c r="U96" i="244"/>
  <c r="AF100" i="244"/>
  <c r="V98" i="244"/>
  <c r="U97" i="244"/>
  <c r="AF96" i="244"/>
  <c r="S112" i="244"/>
  <c r="Y115" i="244"/>
  <c r="U112" i="244"/>
  <c r="AF112" i="244"/>
  <c r="S115" i="244"/>
  <c r="AF115" i="244"/>
  <c r="V115" i="244"/>
  <c r="AH115" i="244"/>
  <c r="V130" i="244"/>
  <c r="S146" i="244"/>
  <c r="U146" i="244"/>
  <c r="AF146" i="244"/>
  <c r="AH147" i="244"/>
  <c r="AF175" i="244"/>
  <c r="U175" i="244"/>
  <c r="AF174" i="244"/>
  <c r="U174" i="244"/>
  <c r="AF173" i="244"/>
  <c r="U173" i="244"/>
  <c r="AF172" i="244"/>
  <c r="U172" i="244"/>
  <c r="AF171" i="244"/>
  <c r="U171" i="244"/>
  <c r="AF170" i="244"/>
  <c r="U170" i="244"/>
  <c r="Y180" i="244"/>
  <c r="Y179" i="244"/>
  <c r="Y178" i="244"/>
  <c r="Y177" i="244"/>
  <c r="Y176" i="244"/>
  <c r="Y175" i="244"/>
  <c r="Y174" i="244"/>
  <c r="Y173" i="244"/>
  <c r="Y172" i="244"/>
  <c r="Y171" i="244"/>
  <c r="Y170" i="244"/>
  <c r="S180" i="244"/>
  <c r="S179" i="244"/>
  <c r="S178" i="244"/>
  <c r="S177" i="244"/>
  <c r="S176" i="244"/>
  <c r="S175" i="244"/>
  <c r="S174" i="244"/>
  <c r="S173" i="244"/>
  <c r="S172" i="244"/>
  <c r="S171" i="244"/>
  <c r="S170" i="244"/>
  <c r="V164" i="244"/>
  <c r="V163" i="244"/>
  <c r="V162" i="244"/>
  <c r="V161" i="244"/>
  <c r="V160" i="244"/>
  <c r="U164" i="244"/>
  <c r="U163" i="244"/>
  <c r="U162" i="244"/>
  <c r="U161" i="244"/>
  <c r="U160" i="244"/>
  <c r="AF164" i="244"/>
  <c r="AF163" i="244"/>
  <c r="AF162" i="244"/>
  <c r="AF161" i="244"/>
  <c r="AF160" i="244"/>
  <c r="S164" i="244"/>
  <c r="S163" i="244"/>
  <c r="S162" i="244"/>
  <c r="S161" i="244"/>
  <c r="S160" i="244"/>
  <c r="AH164" i="244"/>
  <c r="Y164" i="244"/>
  <c r="AH163" i="244"/>
  <c r="Y163" i="244"/>
  <c r="AH162" i="244"/>
  <c r="Y162" i="244"/>
  <c r="AH161" i="244"/>
  <c r="Y161" i="244"/>
  <c r="AH160" i="244"/>
  <c r="Y160" i="244"/>
  <c r="AH144" i="244"/>
  <c r="Y144" i="244"/>
  <c r="AF144" i="244"/>
  <c r="V144" i="244"/>
  <c r="U144" i="244"/>
  <c r="U145" i="244"/>
  <c r="Y146" i="244"/>
  <c r="U147" i="244"/>
  <c r="Y148" i="244"/>
  <c r="V147" i="244"/>
  <c r="U129" i="244"/>
  <c r="U131" i="244"/>
  <c r="V129" i="244"/>
  <c r="V131" i="244"/>
  <c r="V114" i="244"/>
  <c r="AF114" i="244"/>
  <c r="V116" i="244"/>
  <c r="AF116" i="244"/>
  <c r="Y112" i="244"/>
  <c r="U113" i="244"/>
  <c r="Y114" i="244"/>
  <c r="U115" i="244"/>
  <c r="Y116" i="244"/>
  <c r="S100" i="244"/>
  <c r="S99" i="244"/>
  <c r="S98" i="244"/>
  <c r="S97" i="244"/>
  <c r="S96" i="244"/>
  <c r="AH100" i="244"/>
  <c r="Y100" i="244"/>
  <c r="AH99" i="244"/>
  <c r="Y99" i="244"/>
  <c r="AH98" i="244"/>
  <c r="Y98" i="244"/>
  <c r="AH97" i="244"/>
  <c r="Y97" i="244"/>
  <c r="AH96" i="244"/>
  <c r="Y96" i="244"/>
  <c r="B82" i="244"/>
  <c r="AX82" i="244"/>
  <c r="B83" i="244"/>
  <c r="AX83" i="244"/>
  <c r="AX81" i="244"/>
  <c r="B81" i="244"/>
  <c r="AX52" i="244"/>
  <c r="AX67" i="244"/>
  <c r="AX48" i="244"/>
  <c r="AX51" i="244"/>
  <c r="AX66" i="244"/>
  <c r="AX65" i="244"/>
  <c r="AX50" i="244"/>
  <c r="AX68" i="244"/>
  <c r="AX64" i="244"/>
  <c r="AX49" i="244"/>
  <c r="A165" i="244"/>
  <c r="A101" i="244"/>
  <c r="A149" i="244"/>
  <c r="A117" i="244"/>
  <c r="A85" i="244"/>
  <c r="A133" i="244"/>
  <c r="A69" i="244"/>
  <c r="A17" i="244"/>
  <c r="A53" i="244"/>
  <c r="K51" i="215"/>
  <c r="K57" i="215"/>
  <c r="K55" i="215"/>
  <c r="C192" i="221"/>
  <c r="AH21" i="217"/>
  <c r="AR51" i="244" l="1" a="1"/>
  <c r="AR51" i="244" s="1"/>
  <c r="AR48" i="244" a="1"/>
  <c r="AR48" i="244" s="1"/>
  <c r="AR49" i="244" a="1"/>
  <c r="AR49" i="244" s="1"/>
  <c r="AR50" i="244" a="1"/>
  <c r="AR50" i="244" s="1"/>
  <c r="AR52" i="244" a="1"/>
  <c r="AR52" i="244" s="1"/>
  <c r="C54" i="209"/>
  <c r="Z46" i="209"/>
  <c r="U46" i="209"/>
  <c r="AI34" i="209"/>
  <c r="AI33" i="209"/>
  <c r="AI32" i="209"/>
  <c r="AN31" i="209"/>
  <c r="AI31" i="209"/>
  <c r="AP36" i="209"/>
  <c r="AN36" i="209"/>
  <c r="AI36" i="209"/>
  <c r="AI35" i="209"/>
  <c r="AI30" i="209"/>
  <c r="G26" i="209"/>
  <c r="J25" i="209"/>
  <c r="G25" i="209"/>
  <c r="J24" i="209"/>
  <c r="G24" i="209"/>
  <c r="J23" i="209"/>
  <c r="G23" i="209"/>
  <c r="G49" i="209"/>
  <c r="G47" i="209"/>
  <c r="G46" i="209"/>
  <c r="G40" i="209"/>
  <c r="G43" i="209"/>
  <c r="K42" i="209"/>
  <c r="G42" i="209"/>
  <c r="G48" i="209"/>
  <c r="G44" i="209"/>
  <c r="G39" i="209"/>
  <c r="AB36" i="209"/>
  <c r="Z36" i="209"/>
  <c r="U36" i="209"/>
  <c r="U35" i="209"/>
  <c r="G15" i="209"/>
  <c r="U30" i="209"/>
  <c r="G17" i="209"/>
  <c r="G16" i="209"/>
  <c r="U39" i="209"/>
  <c r="N36" i="209"/>
  <c r="L36" i="209"/>
  <c r="G36" i="209"/>
  <c r="G35" i="209"/>
  <c r="G34" i="209"/>
  <c r="G33" i="209"/>
  <c r="G32" i="209"/>
  <c r="L31" i="209"/>
  <c r="G31" i="209"/>
  <c r="G30" i="209"/>
  <c r="AB45" i="208"/>
  <c r="AF45" i="208" s="1"/>
  <c r="W32" i="208"/>
  <c r="P32" i="208"/>
  <c r="W31" i="208"/>
  <c r="P31" i="208"/>
  <c r="W30" i="208"/>
  <c r="P30" i="208"/>
  <c r="AD27" i="208"/>
  <c r="P27" i="208"/>
  <c r="AD26" i="208"/>
  <c r="P26" i="208"/>
  <c r="AD25" i="208"/>
  <c r="P25" i="208"/>
  <c r="AC18" i="208"/>
  <c r="X21" i="208"/>
  <c r="J21" i="208"/>
  <c r="L50" i="207"/>
  <c r="FC2" i="244" s="1"/>
  <c r="W32" i="207"/>
  <c r="W31" i="207"/>
  <c r="W30" i="207"/>
  <c r="P32" i="207"/>
  <c r="P31" i="207"/>
  <c r="P30" i="207"/>
  <c r="P25" i="207"/>
  <c r="P26" i="207"/>
  <c r="P27" i="207"/>
  <c r="AC18" i="207"/>
  <c r="X21" i="207"/>
  <c r="AD27" i="207"/>
  <c r="AD26" i="207"/>
  <c r="AD25" i="207"/>
  <c r="J21" i="207"/>
  <c r="F39" i="218"/>
  <c r="F38" i="218"/>
  <c r="F37" i="218"/>
  <c r="F36" i="218"/>
  <c r="P34" i="218"/>
  <c r="F34" i="218"/>
  <c r="P33" i="218"/>
  <c r="F33" i="218"/>
  <c r="F32" i="218"/>
  <c r="P32" i="218"/>
  <c r="P31" i="218"/>
  <c r="P30" i="218"/>
  <c r="F30" i="218"/>
  <c r="M28" i="218"/>
  <c r="K28" i="218"/>
  <c r="F28" i="218"/>
  <c r="F27" i="218"/>
  <c r="F26" i="218"/>
  <c r="P19" i="218"/>
  <c r="U18" i="218"/>
  <c r="P18" i="218"/>
  <c r="P17" i="218"/>
  <c r="M19" i="218"/>
  <c r="K19" i="218"/>
  <c r="F19" i="218"/>
  <c r="F18" i="218"/>
  <c r="S46" i="218"/>
  <c r="P24" i="218"/>
  <c r="M24" i="218"/>
  <c r="K24" i="218"/>
  <c r="F24" i="218"/>
  <c r="U23" i="218"/>
  <c r="P23" i="218"/>
  <c r="F23" i="218"/>
  <c r="P22" i="218"/>
  <c r="F22" i="218"/>
  <c r="F17" i="218"/>
  <c r="F35" i="218"/>
  <c r="F20" i="218"/>
  <c r="F14" i="218"/>
  <c r="F16" i="218"/>
  <c r="AA24" i="218"/>
  <c r="AA23" i="218"/>
  <c r="AA22" i="218"/>
  <c r="AA21" i="218"/>
  <c r="AA20" i="218"/>
  <c r="AA19" i="218"/>
  <c r="AZ29" i="109" l="1"/>
  <c r="AY29" i="109"/>
  <c r="AX29" i="109"/>
  <c r="AW29" i="109"/>
  <c r="AV29" i="109"/>
  <c r="AZ28" i="109"/>
  <c r="AY28" i="109"/>
  <c r="AX28" i="109"/>
  <c r="AW28" i="109"/>
  <c r="AV28" i="109"/>
  <c r="BD27" i="109"/>
  <c r="BC27" i="109"/>
  <c r="BB27" i="109"/>
  <c r="BA27" i="109"/>
  <c r="AZ27" i="109"/>
  <c r="AY27" i="109"/>
  <c r="AX27" i="109"/>
  <c r="AW27" i="109"/>
  <c r="AV27" i="109"/>
  <c r="BD26" i="109"/>
  <c r="AA21" i="217" s="1"/>
  <c r="BC26" i="109"/>
  <c r="T21" i="217" s="1"/>
  <c r="BB26" i="109"/>
  <c r="BA26" i="109"/>
  <c r="EH2" i="244" s="1"/>
  <c r="AZ26" i="109"/>
  <c r="AH18" i="217" s="1"/>
  <c r="AY26" i="109"/>
  <c r="AA18" i="217" s="1"/>
  <c r="AX26" i="109"/>
  <c r="T18" i="217" s="1"/>
  <c r="EE2" i="244" s="1"/>
  <c r="AW26" i="109"/>
  <c r="M18" i="217" s="1"/>
  <c r="ED2" i="244" s="1"/>
  <c r="AV26" i="109"/>
  <c r="EC2" i="244" s="1"/>
  <c r="F27" i="217"/>
  <c r="C249" i="221"/>
  <c r="B249" i="221"/>
  <c r="U43" i="209" l="1"/>
  <c r="EK2" i="244"/>
  <c r="Z41" i="209"/>
  <c r="EI2" i="244"/>
  <c r="AB45" i="209"/>
  <c r="EG2" i="244"/>
  <c r="U42" i="209"/>
  <c r="EJ2" i="244"/>
  <c r="Z45" i="209"/>
  <c r="EF2" i="244"/>
  <c r="U47" i="209"/>
  <c r="U44" i="209"/>
  <c r="K43" i="218"/>
  <c r="F42" i="218"/>
  <c r="AB48" i="208"/>
  <c r="F43" i="218"/>
  <c r="M43" i="218"/>
  <c r="P41" i="218"/>
  <c r="U41" i="209"/>
  <c r="AB47" i="208"/>
  <c r="P43" i="218"/>
  <c r="P42" i="218"/>
  <c r="AB49" i="208"/>
  <c r="U45" i="209"/>
  <c r="AB46" i="208"/>
  <c r="F41" i="218"/>
  <c r="U40" i="209"/>
  <c r="AA28" i="218" l="1"/>
  <c r="K22" i="221"/>
  <c r="K21" i="221"/>
  <c r="K20" i="221"/>
  <c r="K19" i="221"/>
  <c r="K18" i="221"/>
  <c r="K17" i="221"/>
  <c r="AC18" i="235"/>
  <c r="AF18" i="235" s="1"/>
  <c r="AI18" i="235"/>
  <c r="N24" i="221" s="1"/>
  <c r="K24" i="221"/>
  <c r="L24" i="221" s="1"/>
  <c r="L30" i="221" s="1"/>
  <c r="B218" i="221"/>
  <c r="G24" i="221"/>
  <c r="A9" i="235"/>
  <c r="C227" i="221"/>
  <c r="B221" i="221"/>
  <c r="B227" i="221"/>
  <c r="C223" i="221"/>
  <c r="B224" i="221"/>
  <c r="B223" i="221"/>
  <c r="C226" i="221"/>
  <c r="C222" i="221"/>
  <c r="C220" i="221"/>
  <c r="B229" i="221"/>
  <c r="C229" i="221"/>
  <c r="C225" i="221"/>
  <c r="B225" i="221"/>
  <c r="B226" i="221"/>
  <c r="C228" i="221"/>
  <c r="C224" i="221"/>
  <c r="C221" i="221"/>
  <c r="B222" i="221"/>
  <c r="B220" i="221"/>
  <c r="B228" i="221"/>
  <c r="AA9" i="234" l="1"/>
  <c r="W9" i="234"/>
  <c r="S9" i="234"/>
  <c r="O9" i="234"/>
  <c r="K9" i="234"/>
  <c r="G9" i="234"/>
  <c r="AA9" i="233"/>
  <c r="W9" i="233"/>
  <c r="S9" i="233"/>
  <c r="O9" i="233"/>
  <c r="K9" i="233"/>
  <c r="G9" i="233"/>
  <c r="AA9" i="230"/>
  <c r="W9" i="230"/>
  <c r="S9" i="230"/>
  <c r="O9" i="230"/>
  <c r="K9" i="230"/>
  <c r="G9" i="230"/>
  <c r="AA9" i="231"/>
  <c r="W9" i="231"/>
  <c r="S9" i="231"/>
  <c r="O9" i="231"/>
  <c r="K9" i="231"/>
  <c r="G9" i="231"/>
  <c r="AA9" i="232"/>
  <c r="W9" i="232"/>
  <c r="S9" i="232"/>
  <c r="O9" i="232"/>
  <c r="K9" i="232"/>
  <c r="G9" i="232"/>
  <c r="AT167" i="244"/>
  <c r="BA20" i="234"/>
  <c r="AV167" i="244" s="1"/>
  <c r="AK167" i="244"/>
  <c r="BF20" i="234"/>
  <c r="AW167" i="244" s="1"/>
  <c r="BG20" i="234"/>
  <c r="AT168" i="244"/>
  <c r="BA22" i="234"/>
  <c r="AV168" i="244" s="1"/>
  <c r="AK168" i="244"/>
  <c r="BF22" i="234"/>
  <c r="AW168" i="244" s="1"/>
  <c r="BG22" i="234"/>
  <c r="AT169" i="244"/>
  <c r="BA24" i="234"/>
  <c r="AV169" i="244" s="1"/>
  <c r="AK169" i="244"/>
  <c r="BF24" i="234"/>
  <c r="AW169" i="244" s="1"/>
  <c r="BG24" i="234"/>
  <c r="C167" i="244"/>
  <c r="B167" i="244" s="1"/>
  <c r="C168" i="244"/>
  <c r="B168" i="244" s="1"/>
  <c r="C169" i="244"/>
  <c r="B169" i="244" s="1"/>
  <c r="AT151" i="244"/>
  <c r="BA20" i="233"/>
  <c r="AV151" i="244" s="1"/>
  <c r="AK151" i="244"/>
  <c r="BF20" i="233"/>
  <c r="AW151" i="244" s="1"/>
  <c r="BG20" i="233"/>
  <c r="C151" i="244"/>
  <c r="B151" i="244" s="1"/>
  <c r="AT152" i="244"/>
  <c r="BA22" i="233"/>
  <c r="AV152" i="244" s="1"/>
  <c r="AK152" i="244"/>
  <c r="BF22" i="233"/>
  <c r="AW152" i="244" s="1"/>
  <c r="BG22" i="233"/>
  <c r="C152" i="244"/>
  <c r="B152" i="244" s="1"/>
  <c r="BA24" i="233"/>
  <c r="AV153" i="244" s="1"/>
  <c r="AK153" i="244"/>
  <c r="BF24" i="233"/>
  <c r="BG24" i="233"/>
  <c r="AT154" i="244"/>
  <c r="BA26" i="233"/>
  <c r="AV154" i="244" s="1"/>
  <c r="AK154" i="244"/>
  <c r="BF26" i="233"/>
  <c r="AW154" i="244" s="1"/>
  <c r="BG26" i="233"/>
  <c r="C154" i="244"/>
  <c r="B154" i="244" s="1"/>
  <c r="AT155" i="244"/>
  <c r="BA28" i="233"/>
  <c r="AV155" i="244" s="1"/>
  <c r="AK155" i="244"/>
  <c r="BF28" i="233"/>
  <c r="AW155" i="244" s="1"/>
  <c r="BG28" i="233"/>
  <c r="C155" i="244"/>
  <c r="B155" i="244" s="1"/>
  <c r="AT156" i="244"/>
  <c r="BA30" i="233"/>
  <c r="AV156" i="244" s="1"/>
  <c r="AK156" i="244"/>
  <c r="BF30" i="233"/>
  <c r="AW156" i="244" s="1"/>
  <c r="BG30" i="233"/>
  <c r="C156" i="244"/>
  <c r="B156" i="244" s="1"/>
  <c r="AT157" i="244"/>
  <c r="BA32" i="233"/>
  <c r="AV157" i="244" s="1"/>
  <c r="AK157" i="244"/>
  <c r="BF32" i="233"/>
  <c r="AW157" i="244" s="1"/>
  <c r="BG32" i="233"/>
  <c r="C157" i="244"/>
  <c r="B157" i="244" s="1"/>
  <c r="AT158" i="244"/>
  <c r="BA34" i="233"/>
  <c r="AV158" i="244" s="1"/>
  <c r="AK158" i="244"/>
  <c r="BF34" i="233"/>
  <c r="AW158" i="244" s="1"/>
  <c r="BG34" i="233"/>
  <c r="C158" i="244"/>
  <c r="B158" i="244" s="1"/>
  <c r="AT159" i="244"/>
  <c r="BA36" i="233"/>
  <c r="AV159" i="244" s="1"/>
  <c r="AK159" i="244"/>
  <c r="BF36" i="233"/>
  <c r="AW159" i="244" s="1"/>
  <c r="BG36" i="233"/>
  <c r="C159" i="244"/>
  <c r="B159" i="244" s="1"/>
  <c r="C150" i="244"/>
  <c r="B150" i="244" s="1"/>
  <c r="BG18" i="233"/>
  <c r="BF18" i="233"/>
  <c r="AW150" i="244" s="1"/>
  <c r="BA18" i="233"/>
  <c r="AV150" i="244" s="1"/>
  <c r="BG18" i="234"/>
  <c r="BF18" i="234"/>
  <c r="AW166" i="244" s="1"/>
  <c r="BA18" i="234"/>
  <c r="AV166" i="244" s="1"/>
  <c r="AK166" i="244"/>
  <c r="AK150" i="244"/>
  <c r="AT150" i="244"/>
  <c r="AT127" i="244"/>
  <c r="BA36" i="232"/>
  <c r="AV127" i="244" s="1"/>
  <c r="AK127" i="244"/>
  <c r="BF36" i="232"/>
  <c r="AW127" i="244" s="1"/>
  <c r="BG36" i="232"/>
  <c r="C127" i="244"/>
  <c r="B127" i="244" s="1"/>
  <c r="AT119" i="244"/>
  <c r="BA20" i="232"/>
  <c r="AV119" i="244" s="1"/>
  <c r="AK119" i="244"/>
  <c r="BF20" i="232"/>
  <c r="AW119" i="244" s="1"/>
  <c r="BG20" i="232"/>
  <c r="C119" i="244"/>
  <c r="B119" i="244" s="1"/>
  <c r="AT120" i="244"/>
  <c r="BA22" i="232"/>
  <c r="AV120" i="244" s="1"/>
  <c r="AK120" i="244"/>
  <c r="BF22" i="232"/>
  <c r="AW120" i="244" s="1"/>
  <c r="BG22" i="232"/>
  <c r="C120" i="244"/>
  <c r="B120" i="244" s="1"/>
  <c r="AT121" i="244"/>
  <c r="BA24" i="232"/>
  <c r="AV121" i="244" s="1"/>
  <c r="AK121" i="244"/>
  <c r="BF24" i="232"/>
  <c r="AW121" i="244" s="1"/>
  <c r="BG24" i="232"/>
  <c r="C121" i="244"/>
  <c r="BA26" i="232"/>
  <c r="AV122" i="244" s="1"/>
  <c r="AK122" i="244"/>
  <c r="BF26" i="232"/>
  <c r="AW122" i="244" s="1"/>
  <c r="BG26" i="232"/>
  <c r="AT123" i="244"/>
  <c r="BA28" i="232"/>
  <c r="AV123" i="244" s="1"/>
  <c r="AK123" i="244"/>
  <c r="BF28" i="232"/>
  <c r="AW123" i="244" s="1"/>
  <c r="BG28" i="232"/>
  <c r="C123" i="244"/>
  <c r="B123" i="244" s="1"/>
  <c r="AT124" i="244"/>
  <c r="BA30" i="232"/>
  <c r="AV124" i="244" s="1"/>
  <c r="AK124" i="244"/>
  <c r="BF30" i="232"/>
  <c r="AW124" i="244" s="1"/>
  <c r="BG30" i="232"/>
  <c r="C124" i="244"/>
  <c r="B124" i="244" s="1"/>
  <c r="AT125" i="244"/>
  <c r="BA32" i="232"/>
  <c r="AV125" i="244" s="1"/>
  <c r="AK125" i="244"/>
  <c r="BF32" i="232"/>
  <c r="AW125" i="244" s="1"/>
  <c r="BG32" i="232"/>
  <c r="C125" i="244"/>
  <c r="B125" i="244" s="1"/>
  <c r="AT126" i="244"/>
  <c r="BA34" i="232"/>
  <c r="AV126" i="244" s="1"/>
  <c r="AK126" i="244"/>
  <c r="BF34" i="232"/>
  <c r="AW126" i="244" s="1"/>
  <c r="BG34" i="232"/>
  <c r="C126" i="244"/>
  <c r="B126" i="244" s="1"/>
  <c r="BG18" i="232"/>
  <c r="BF18" i="232"/>
  <c r="AV118" i="244"/>
  <c r="AK118" i="244"/>
  <c r="AT103" i="244"/>
  <c r="BA20" i="231"/>
  <c r="AV103" i="244" s="1"/>
  <c r="AK103" i="244"/>
  <c r="BF20" i="231"/>
  <c r="AW103" i="244" s="1"/>
  <c r="BG20" i="231"/>
  <c r="C103" i="244"/>
  <c r="B103" i="244" s="1"/>
  <c r="BA22" i="231"/>
  <c r="AV104" i="244" s="1"/>
  <c r="AK104" i="244"/>
  <c r="BF22" i="231"/>
  <c r="AW104" i="244" s="1"/>
  <c r="BG22" i="231"/>
  <c r="AT105" i="244"/>
  <c r="BA24" i="231"/>
  <c r="AV105" i="244" s="1"/>
  <c r="AK105" i="244"/>
  <c r="BF24" i="231"/>
  <c r="AW105" i="244" s="1"/>
  <c r="BG24" i="231"/>
  <c r="C105" i="244"/>
  <c r="B105" i="244" s="1"/>
  <c r="AT106" i="244"/>
  <c r="BA26" i="231"/>
  <c r="AV106" i="244" s="1"/>
  <c r="AK106" i="244"/>
  <c r="BF26" i="231"/>
  <c r="AW106" i="244" s="1"/>
  <c r="BG26" i="231"/>
  <c r="C106" i="244"/>
  <c r="B106" i="244" s="1"/>
  <c r="AT107" i="244"/>
  <c r="BA28" i="231"/>
  <c r="AV107" i="244" s="1"/>
  <c r="AK107" i="244"/>
  <c r="BF28" i="231"/>
  <c r="AW107" i="244" s="1"/>
  <c r="BG28" i="231"/>
  <c r="C107" i="244"/>
  <c r="B107" i="244" s="1"/>
  <c r="AT108" i="244"/>
  <c r="BA30" i="231"/>
  <c r="AV108" i="244" s="1"/>
  <c r="AK108" i="244"/>
  <c r="BF30" i="231"/>
  <c r="AW108" i="244" s="1"/>
  <c r="BG30" i="231"/>
  <c r="C108" i="244"/>
  <c r="B108" i="244" s="1"/>
  <c r="AT109" i="244"/>
  <c r="BA32" i="231"/>
  <c r="AV109" i="244" s="1"/>
  <c r="AK109" i="244"/>
  <c r="BF32" i="231"/>
  <c r="AW109" i="244" s="1"/>
  <c r="BG32" i="231"/>
  <c r="C109" i="244"/>
  <c r="B109" i="244" s="1"/>
  <c r="AT110" i="244"/>
  <c r="BA34" i="231"/>
  <c r="AV110" i="244" s="1"/>
  <c r="AK110" i="244"/>
  <c r="BF34" i="231"/>
  <c r="AW110" i="244" s="1"/>
  <c r="BG34" i="231"/>
  <c r="C110" i="244"/>
  <c r="B110" i="244" s="1"/>
  <c r="AT111" i="244"/>
  <c r="BA36" i="231"/>
  <c r="AV111" i="244" s="1"/>
  <c r="AK111" i="244"/>
  <c r="BF36" i="231"/>
  <c r="AW111" i="244" s="1"/>
  <c r="BG36" i="231"/>
  <c r="C111" i="244"/>
  <c r="B111" i="244" s="1"/>
  <c r="BG18" i="231"/>
  <c r="BF18" i="231"/>
  <c r="AV102" i="244"/>
  <c r="AK102" i="244"/>
  <c r="AT87" i="244"/>
  <c r="BA20" i="230"/>
  <c r="AV87" i="244" s="1"/>
  <c r="AK87" i="244"/>
  <c r="BF20" i="230"/>
  <c r="AW87" i="244" s="1"/>
  <c r="BG20" i="230"/>
  <c r="C87" i="244"/>
  <c r="B87" i="244" s="1"/>
  <c r="AT88" i="244"/>
  <c r="BA22" i="230"/>
  <c r="AV88" i="244" s="1"/>
  <c r="AK88" i="244"/>
  <c r="BF22" i="230"/>
  <c r="AW88" i="244" s="1"/>
  <c r="BG22" i="230"/>
  <c r="C88" i="244"/>
  <c r="B88" i="244" s="1"/>
  <c r="BA24" i="230"/>
  <c r="AV89" i="244" s="1"/>
  <c r="AK89" i="244"/>
  <c r="BF24" i="230"/>
  <c r="AW89" i="244" s="1"/>
  <c r="BG24" i="230"/>
  <c r="AT90" i="244"/>
  <c r="BA26" i="230"/>
  <c r="AV90" i="244" s="1"/>
  <c r="AK90" i="244"/>
  <c r="BF26" i="230"/>
  <c r="AW90" i="244" s="1"/>
  <c r="BG26" i="230"/>
  <c r="C90" i="244"/>
  <c r="B90" i="244" s="1"/>
  <c r="AT91" i="244"/>
  <c r="BA28" i="230"/>
  <c r="AV91" i="244" s="1"/>
  <c r="AK91" i="244"/>
  <c r="BF28" i="230"/>
  <c r="AW91" i="244" s="1"/>
  <c r="BG28" i="230"/>
  <c r="C91" i="244"/>
  <c r="B91" i="244" s="1"/>
  <c r="AT92" i="244"/>
  <c r="BA30" i="230"/>
  <c r="AV92" i="244" s="1"/>
  <c r="AK92" i="244"/>
  <c r="BF30" i="230"/>
  <c r="AW92" i="244" s="1"/>
  <c r="BG30" i="230"/>
  <c r="C92" i="244"/>
  <c r="B92" i="244" s="1"/>
  <c r="AT93" i="244"/>
  <c r="BA32" i="230"/>
  <c r="AV93" i="244" s="1"/>
  <c r="AK93" i="244"/>
  <c r="BF32" i="230"/>
  <c r="AW93" i="244" s="1"/>
  <c r="BG32" i="230"/>
  <c r="C93" i="244"/>
  <c r="B93" i="244" s="1"/>
  <c r="AT94" i="244"/>
  <c r="BA34" i="230"/>
  <c r="AV94" i="244" s="1"/>
  <c r="AK94" i="244"/>
  <c r="BF34" i="230"/>
  <c r="AW94" i="244" s="1"/>
  <c r="BG34" i="230"/>
  <c r="C94" i="244"/>
  <c r="B94" i="244" s="1"/>
  <c r="AT95" i="244"/>
  <c r="BA36" i="230"/>
  <c r="AV95" i="244" s="1"/>
  <c r="AK95" i="244"/>
  <c r="BF36" i="230"/>
  <c r="AW95" i="244" s="1"/>
  <c r="BG36" i="230"/>
  <c r="C95" i="244"/>
  <c r="B95" i="244" s="1"/>
  <c r="AW86" i="244"/>
  <c r="BA18" i="230"/>
  <c r="AV86" i="244" s="1"/>
  <c r="AK86" i="244"/>
  <c r="AT135" i="244"/>
  <c r="BA20" i="229"/>
  <c r="AV135" i="244" s="1"/>
  <c r="AK135" i="244"/>
  <c r="BF20" i="229"/>
  <c r="AW135" i="244" s="1"/>
  <c r="BG20" i="229"/>
  <c r="C135" i="244"/>
  <c r="B135" i="244" s="1"/>
  <c r="AT136" i="244"/>
  <c r="BA22" i="229"/>
  <c r="AV136" i="244" s="1"/>
  <c r="AK136" i="244"/>
  <c r="BF22" i="229"/>
  <c r="AW136" i="244" s="1"/>
  <c r="BG22" i="229"/>
  <c r="C136" i="244"/>
  <c r="B136" i="244" s="1"/>
  <c r="BA24" i="229"/>
  <c r="AV137" i="244" s="1"/>
  <c r="AK137" i="244"/>
  <c r="BF24" i="229"/>
  <c r="AW137" i="244" s="1"/>
  <c r="BG24" i="229"/>
  <c r="AT138" i="244"/>
  <c r="BA26" i="229"/>
  <c r="AV138" i="244" s="1"/>
  <c r="AK138" i="244"/>
  <c r="BF26" i="229"/>
  <c r="AW138" i="244" s="1"/>
  <c r="BG26" i="229"/>
  <c r="C138" i="244"/>
  <c r="B138" i="244" s="1"/>
  <c r="AT139" i="244"/>
  <c r="BA28" i="229"/>
  <c r="AV139" i="244" s="1"/>
  <c r="AK139" i="244"/>
  <c r="BF28" i="229"/>
  <c r="AW139" i="244" s="1"/>
  <c r="BG28" i="229"/>
  <c r="C139" i="244"/>
  <c r="B139" i="244" s="1"/>
  <c r="AT140" i="244"/>
  <c r="BA30" i="229"/>
  <c r="AV140" i="244" s="1"/>
  <c r="AK140" i="244"/>
  <c r="BF30" i="229"/>
  <c r="AW140" i="244" s="1"/>
  <c r="BG30" i="229"/>
  <c r="C140" i="244"/>
  <c r="B140" i="244" s="1"/>
  <c r="AT141" i="244"/>
  <c r="BA32" i="229"/>
  <c r="AV141" i="244" s="1"/>
  <c r="AK141" i="244"/>
  <c r="BF32" i="229"/>
  <c r="AW141" i="244" s="1"/>
  <c r="BG32" i="229"/>
  <c r="C141" i="244"/>
  <c r="B141" i="244" s="1"/>
  <c r="AT142" i="244"/>
  <c r="BA34" i="229"/>
  <c r="AV142" i="244" s="1"/>
  <c r="AK142" i="244"/>
  <c r="BF34" i="229"/>
  <c r="AW142" i="244" s="1"/>
  <c r="BG34" i="229"/>
  <c r="C142" i="244"/>
  <c r="B142" i="244" s="1"/>
  <c r="AT143" i="244"/>
  <c r="BA36" i="229"/>
  <c r="AV143" i="244" s="1"/>
  <c r="AK143" i="244"/>
  <c r="BF36" i="229"/>
  <c r="AW143" i="244" s="1"/>
  <c r="BG36" i="229"/>
  <c r="C143" i="244"/>
  <c r="B143" i="244" s="1"/>
  <c r="C134" i="244"/>
  <c r="B134" i="244" s="1"/>
  <c r="BG18" i="229"/>
  <c r="BF18" i="229"/>
  <c r="AW134" i="244" s="1"/>
  <c r="BA18" i="229"/>
  <c r="AV134" i="244" s="1"/>
  <c r="AM28" i="241"/>
  <c r="G54" i="241"/>
  <c r="F54" i="241"/>
  <c r="D32" i="241"/>
  <c r="D54" i="241" s="1"/>
  <c r="AD22" i="241"/>
  <c r="E54" i="241" l="1"/>
  <c r="BK20" i="230"/>
  <c r="BJ20" i="230" s="1"/>
  <c r="BP20" i="230" s="1"/>
  <c r="BN20" i="230"/>
  <c r="BN32" i="232"/>
  <c r="BK32" i="232"/>
  <c r="BK28" i="232"/>
  <c r="BN28" i="232"/>
  <c r="BN22" i="233"/>
  <c r="BK22" i="233"/>
  <c r="BJ22" i="233" s="1"/>
  <c r="BP22" i="233" s="1"/>
  <c r="BK20" i="234"/>
  <c r="BJ20" i="234" s="1"/>
  <c r="BP20" i="234" s="1"/>
  <c r="BN20" i="234"/>
  <c r="BH24" i="230"/>
  <c r="O17" i="221" s="1"/>
  <c r="BK24" i="230"/>
  <c r="BJ24" i="230" s="1"/>
  <c r="BP24" i="230" s="1"/>
  <c r="BK26" i="229"/>
  <c r="BJ26" i="229" s="1"/>
  <c r="BP26" i="229" s="1"/>
  <c r="BN26" i="229"/>
  <c r="BK36" i="230"/>
  <c r="BJ36" i="230" s="1"/>
  <c r="BP36" i="230" s="1"/>
  <c r="BN36" i="230"/>
  <c r="BK32" i="230"/>
  <c r="BN32" i="230"/>
  <c r="BK28" i="230"/>
  <c r="BJ28" i="230" s="1"/>
  <c r="BP28" i="230" s="1"/>
  <c r="BN28" i="230"/>
  <c r="BH18" i="234"/>
  <c r="BN18" i="234"/>
  <c r="BK18" i="234"/>
  <c r="BJ18" i="234" s="1"/>
  <c r="BP18" i="234" s="1"/>
  <c r="BN34" i="233"/>
  <c r="BK34" i="233"/>
  <c r="BJ34" i="233" s="1"/>
  <c r="BP34" i="233" s="1"/>
  <c r="BK30" i="233"/>
  <c r="BJ30" i="233" s="1"/>
  <c r="BP30" i="233" s="1"/>
  <c r="BN30" i="233"/>
  <c r="BK26" i="233"/>
  <c r="BJ26" i="233" s="1"/>
  <c r="BP26" i="233" s="1"/>
  <c r="BN26" i="233"/>
  <c r="BK24" i="234"/>
  <c r="BJ24" i="234" s="1"/>
  <c r="BP24" i="234" s="1"/>
  <c r="BN24" i="234"/>
  <c r="BH22" i="231"/>
  <c r="BN22" i="231"/>
  <c r="BK22" i="231"/>
  <c r="G134" i="244"/>
  <c r="BN18" i="229"/>
  <c r="BK18" i="229"/>
  <c r="BK34" i="231"/>
  <c r="BJ34" i="231" s="1"/>
  <c r="BP34" i="231" s="1"/>
  <c r="BN34" i="231"/>
  <c r="BK30" i="231"/>
  <c r="BJ30" i="231" s="1"/>
  <c r="BP30" i="231" s="1"/>
  <c r="BN30" i="231"/>
  <c r="BK26" i="231"/>
  <c r="BJ26" i="231" s="1"/>
  <c r="BP26" i="231" s="1"/>
  <c r="BN26" i="231"/>
  <c r="BH18" i="232"/>
  <c r="BN18" i="232"/>
  <c r="BK18" i="232"/>
  <c r="BJ18" i="232" s="1"/>
  <c r="BP18" i="232" s="1"/>
  <c r="BN22" i="232"/>
  <c r="BK22" i="232"/>
  <c r="BJ22" i="232" s="1"/>
  <c r="BP22" i="232" s="1"/>
  <c r="BN36" i="232"/>
  <c r="BK36" i="232"/>
  <c r="BJ36" i="232" s="1"/>
  <c r="BP36" i="232" s="1"/>
  <c r="BK34" i="229"/>
  <c r="BJ34" i="229" s="1"/>
  <c r="BP34" i="229" s="1"/>
  <c r="BN34" i="229"/>
  <c r="BK26" i="232"/>
  <c r="BN26" i="232"/>
  <c r="BN18" i="233"/>
  <c r="BK18" i="233"/>
  <c r="BJ18" i="233" s="1"/>
  <c r="BP18" i="233" s="1"/>
  <c r="BH24" i="229"/>
  <c r="O20" i="221" s="1"/>
  <c r="BN24" i="229"/>
  <c r="BK24" i="229"/>
  <c r="BK22" i="230"/>
  <c r="BJ22" i="230" s="1"/>
  <c r="BP22" i="230" s="1"/>
  <c r="BN22" i="230"/>
  <c r="BN34" i="232"/>
  <c r="BK34" i="232"/>
  <c r="BJ34" i="232" s="1"/>
  <c r="BP34" i="232" s="1"/>
  <c r="BK30" i="232"/>
  <c r="BJ30" i="232" s="1"/>
  <c r="BP30" i="232" s="1"/>
  <c r="BN30" i="232"/>
  <c r="BK20" i="233"/>
  <c r="BJ20" i="233" s="1"/>
  <c r="BP20" i="233" s="1"/>
  <c r="BN20" i="233"/>
  <c r="BN22" i="229"/>
  <c r="BK22" i="229"/>
  <c r="BJ22" i="229" s="1"/>
  <c r="BP22" i="229" s="1"/>
  <c r="BK36" i="229"/>
  <c r="BJ36" i="229" s="1"/>
  <c r="BP36" i="229" s="1"/>
  <c r="BN36" i="229"/>
  <c r="BH24" i="233"/>
  <c r="BK24" i="233"/>
  <c r="BN24" i="233"/>
  <c r="BK22" i="234"/>
  <c r="BJ22" i="234" s="1"/>
  <c r="BP22" i="234" s="1"/>
  <c r="BN22" i="234"/>
  <c r="BK30" i="229"/>
  <c r="BJ30" i="229" s="1"/>
  <c r="BP30" i="229" s="1"/>
  <c r="BN30" i="229"/>
  <c r="BN20" i="229"/>
  <c r="BK20" i="229"/>
  <c r="BJ20" i="229" s="1"/>
  <c r="BP20" i="229" s="1"/>
  <c r="BK32" i="229"/>
  <c r="BJ32" i="229" s="1"/>
  <c r="BP32" i="229" s="1"/>
  <c r="BN32" i="229"/>
  <c r="BK28" i="229"/>
  <c r="BJ28" i="229" s="1"/>
  <c r="BP28" i="229" s="1"/>
  <c r="BN28" i="229"/>
  <c r="BK34" i="230"/>
  <c r="BJ34" i="230" s="1"/>
  <c r="BP34" i="230" s="1"/>
  <c r="BN34" i="230"/>
  <c r="BK30" i="230"/>
  <c r="BJ30" i="230" s="1"/>
  <c r="BP30" i="230" s="1"/>
  <c r="BN30" i="230"/>
  <c r="BK26" i="230"/>
  <c r="BJ26" i="230" s="1"/>
  <c r="BP26" i="230" s="1"/>
  <c r="BN26" i="230"/>
  <c r="BN18" i="231"/>
  <c r="BK18" i="231"/>
  <c r="BJ18" i="231" s="1"/>
  <c r="BP18" i="231" s="1"/>
  <c r="BN20" i="231"/>
  <c r="BK20" i="231"/>
  <c r="BJ20" i="231" s="1"/>
  <c r="BP20" i="231" s="1"/>
  <c r="BN36" i="233"/>
  <c r="BK36" i="233"/>
  <c r="BJ36" i="233" s="1"/>
  <c r="BP36" i="233" s="1"/>
  <c r="BN32" i="233"/>
  <c r="BK32" i="233"/>
  <c r="BJ32" i="233" s="1"/>
  <c r="BP32" i="233" s="1"/>
  <c r="BK28" i="233"/>
  <c r="BJ28" i="233" s="1"/>
  <c r="BP28" i="233" s="1"/>
  <c r="BN28" i="233"/>
  <c r="BK36" i="231"/>
  <c r="BJ36" i="231" s="1"/>
  <c r="BP36" i="231" s="1"/>
  <c r="BN36" i="231"/>
  <c r="BN32" i="231"/>
  <c r="BK32" i="231"/>
  <c r="BJ32" i="231" s="1"/>
  <c r="BP32" i="231" s="1"/>
  <c r="BK28" i="231"/>
  <c r="BJ28" i="231" s="1"/>
  <c r="BP28" i="231" s="1"/>
  <c r="BN28" i="231"/>
  <c r="BN24" i="231"/>
  <c r="BK24" i="231"/>
  <c r="BJ24" i="231" s="1"/>
  <c r="BP24" i="231" s="1"/>
  <c r="BK24" i="232"/>
  <c r="BJ24" i="232" s="1"/>
  <c r="BP24" i="232" s="1"/>
  <c r="BN24" i="232"/>
  <c r="BN20" i="232"/>
  <c r="BK20" i="232"/>
  <c r="BJ20" i="232" s="1"/>
  <c r="BP20" i="232" s="1"/>
  <c r="BR24" i="230"/>
  <c r="AY24" i="230" s="1"/>
  <c r="AT89" i="244" s="1"/>
  <c r="BR18" i="234"/>
  <c r="AY18" i="234" s="1"/>
  <c r="AT166" i="244" s="1"/>
  <c r="BR24" i="229"/>
  <c r="AY24" i="229" s="1"/>
  <c r="BR22" i="231"/>
  <c r="AY22" i="231" s="1"/>
  <c r="AW118" i="244"/>
  <c r="BR18" i="232"/>
  <c r="AY18" i="232" s="1"/>
  <c r="AT118" i="244" s="1"/>
  <c r="G122" i="244"/>
  <c r="BH26" i="232"/>
  <c r="BR26" i="232" s="1"/>
  <c r="AY26" i="232" s="1"/>
  <c r="AW153" i="244"/>
  <c r="BR24" i="233"/>
  <c r="AY24" i="233" s="1"/>
  <c r="AW102" i="244"/>
  <c r="G102" i="244"/>
  <c r="BH18" i="231"/>
  <c r="BQ20" i="231"/>
  <c r="BQ30" i="232"/>
  <c r="BQ22" i="232"/>
  <c r="BQ30" i="233"/>
  <c r="BQ22" i="229"/>
  <c r="BQ20" i="232"/>
  <c r="BQ36" i="233"/>
  <c r="BQ28" i="233"/>
  <c r="BQ20" i="233"/>
  <c r="BQ36" i="229"/>
  <c r="BQ28" i="229"/>
  <c r="BQ30" i="230"/>
  <c r="BQ22" i="230"/>
  <c r="BQ34" i="231"/>
  <c r="BQ26" i="231"/>
  <c r="BQ32" i="232"/>
  <c r="BQ32" i="229"/>
  <c r="BQ34" i="230"/>
  <c r="BQ26" i="230"/>
  <c r="BQ30" i="231"/>
  <c r="BQ34" i="229"/>
  <c r="BQ26" i="229"/>
  <c r="BQ36" i="230"/>
  <c r="BQ28" i="230"/>
  <c r="BQ20" i="230"/>
  <c r="BQ32" i="231"/>
  <c r="BQ24" i="231"/>
  <c r="BQ22" i="234"/>
  <c r="BQ36" i="232"/>
  <c r="BQ34" i="233"/>
  <c r="BQ26" i="233"/>
  <c r="BQ30" i="229"/>
  <c r="BQ32" i="230"/>
  <c r="BQ36" i="231"/>
  <c r="BQ28" i="231"/>
  <c r="BQ22" i="233"/>
  <c r="BQ24" i="234"/>
  <c r="BQ20" i="234"/>
  <c r="BQ34" i="232"/>
  <c r="BQ18" i="233"/>
  <c r="BQ20" i="229"/>
  <c r="BQ28" i="232"/>
  <c r="BQ24" i="232"/>
  <c r="BQ32" i="233"/>
  <c r="AJ125" i="244"/>
  <c r="AJ122" i="244"/>
  <c r="AJ143" i="244"/>
  <c r="AJ127" i="244"/>
  <c r="AJ140" i="244"/>
  <c r="AJ137" i="244"/>
  <c r="AJ93" i="244"/>
  <c r="AJ89" i="244"/>
  <c r="AJ111" i="244"/>
  <c r="AJ107" i="244"/>
  <c r="AJ104" i="244"/>
  <c r="AJ118" i="244"/>
  <c r="AJ152" i="244"/>
  <c r="AJ169" i="244"/>
  <c r="AJ167" i="244"/>
  <c r="AJ139" i="244"/>
  <c r="AJ154" i="244"/>
  <c r="AJ119" i="244"/>
  <c r="AJ159" i="244"/>
  <c r="AJ155" i="244"/>
  <c r="AJ126" i="244"/>
  <c r="AJ150" i="244"/>
  <c r="AJ88" i="244"/>
  <c r="AJ106" i="244"/>
  <c r="AJ158" i="244"/>
  <c r="AJ141" i="244"/>
  <c r="AJ94" i="244"/>
  <c r="AJ90" i="244"/>
  <c r="AJ108" i="244"/>
  <c r="AJ120" i="244"/>
  <c r="AJ156" i="244"/>
  <c r="AJ153" i="244"/>
  <c r="AJ135" i="244"/>
  <c r="AJ123" i="244"/>
  <c r="AJ142" i="244"/>
  <c r="AJ138" i="244"/>
  <c r="AJ95" i="244"/>
  <c r="AJ91" i="244"/>
  <c r="AJ87" i="244"/>
  <c r="AJ109" i="244"/>
  <c r="AJ105" i="244"/>
  <c r="AJ168" i="244"/>
  <c r="AJ92" i="244"/>
  <c r="AJ121" i="244"/>
  <c r="AJ166" i="244"/>
  <c r="AJ157" i="244"/>
  <c r="AJ110" i="244"/>
  <c r="AJ151" i="244"/>
  <c r="AJ102" i="244"/>
  <c r="AJ136" i="244"/>
  <c r="AJ103" i="244"/>
  <c r="AJ124" i="244"/>
  <c r="AJ86" i="244"/>
  <c r="G143" i="244"/>
  <c r="G95" i="244"/>
  <c r="G87" i="244"/>
  <c r="G110" i="244"/>
  <c r="G118" i="244"/>
  <c r="BJ28" i="232"/>
  <c r="BP28" i="232" s="1"/>
  <c r="G123" i="244"/>
  <c r="G159" i="244"/>
  <c r="G155" i="244"/>
  <c r="G142" i="244"/>
  <c r="G138" i="244"/>
  <c r="G94" i="244"/>
  <c r="G90" i="244"/>
  <c r="G109" i="244"/>
  <c r="G105" i="244"/>
  <c r="G126" i="244"/>
  <c r="G127" i="244"/>
  <c r="G158" i="244"/>
  <c r="G154" i="244"/>
  <c r="G168" i="244"/>
  <c r="G139" i="244"/>
  <c r="G91" i="244"/>
  <c r="G119" i="244"/>
  <c r="G151" i="244"/>
  <c r="G141" i="244"/>
  <c r="BJ32" i="230"/>
  <c r="BP32" i="230" s="1"/>
  <c r="G93" i="244"/>
  <c r="G89" i="244"/>
  <c r="G108" i="244"/>
  <c r="BJ32" i="232"/>
  <c r="BP32" i="232" s="1"/>
  <c r="G125" i="244"/>
  <c r="G121" i="244"/>
  <c r="G157" i="244"/>
  <c r="G135" i="244"/>
  <c r="G86" i="244"/>
  <c r="G106" i="244"/>
  <c r="G140" i="244"/>
  <c r="G137" i="244"/>
  <c r="G136" i="244"/>
  <c r="G92" i="244"/>
  <c r="G88" i="244"/>
  <c r="G111" i="244"/>
  <c r="G107" i="244"/>
  <c r="G104" i="244"/>
  <c r="G103" i="244"/>
  <c r="G124" i="244"/>
  <c r="G120" i="244"/>
  <c r="G166" i="244"/>
  <c r="G150" i="244"/>
  <c r="G156" i="244"/>
  <c r="G152" i="244"/>
  <c r="G169" i="244"/>
  <c r="G167" i="244"/>
  <c r="G153" i="244"/>
  <c r="AH21" i="218"/>
  <c r="AJ24" i="218"/>
  <c r="AI24" i="218"/>
  <c r="AH24" i="218"/>
  <c r="L18" i="221"/>
  <c r="L21" i="221"/>
  <c r="L17" i="221"/>
  <c r="L19" i="221"/>
  <c r="L22" i="221"/>
  <c r="I22" i="221"/>
  <c r="H22" i="221"/>
  <c r="AD44" i="241"/>
  <c r="R60" i="237" l="1"/>
  <c r="BG60" i="237" s="1"/>
  <c r="BR18" i="231"/>
  <c r="AY18" i="231" s="1"/>
  <c r="AT102" i="244" s="1"/>
  <c r="O18" i="221"/>
  <c r="O19" i="221"/>
  <c r="J21" i="221"/>
  <c r="O21" i="221"/>
  <c r="J22" i="221"/>
  <c r="O22" i="221"/>
  <c r="AI13" i="234"/>
  <c r="R22" i="221"/>
  <c r="J18" i="221"/>
  <c r="BJ22" i="231"/>
  <c r="BP22" i="231" s="1"/>
  <c r="AI13" i="231" s="1"/>
  <c r="AH20" i="218"/>
  <c r="AJ20" i="218"/>
  <c r="AH23" i="218"/>
  <c r="BJ24" i="233"/>
  <c r="BP24" i="233" s="1"/>
  <c r="AI13" i="233" s="1"/>
  <c r="I21" i="221"/>
  <c r="AJ23" i="218"/>
  <c r="H21" i="221"/>
  <c r="AI23" i="218"/>
  <c r="H18" i="221"/>
  <c r="I18" i="221"/>
  <c r="AI20" i="218"/>
  <c r="BJ24" i="229"/>
  <c r="BP24" i="229" s="1"/>
  <c r="BJ26" i="232"/>
  <c r="BP26" i="232" s="1"/>
  <c r="AI13" i="232" s="1"/>
  <c r="H19" i="221"/>
  <c r="I19" i="221"/>
  <c r="AI21" i="218"/>
  <c r="AJ21" i="218"/>
  <c r="J19" i="221"/>
  <c r="H17" i="221"/>
  <c r="AI19" i="218"/>
  <c r="AH19" i="218"/>
  <c r="AJ19" i="218"/>
  <c r="BJ18" i="230"/>
  <c r="BP18" i="230" s="1"/>
  <c r="AI13" i="230" s="1"/>
  <c r="I17" i="221"/>
  <c r="J17" i="221"/>
  <c r="BL36" i="236"/>
  <c r="BH36" i="236"/>
  <c r="R36" i="236"/>
  <c r="AR36" i="236" s="1"/>
  <c r="V63" i="244" s="1"/>
  <c r="BL34" i="236"/>
  <c r="BH34" i="236"/>
  <c r="R34" i="236"/>
  <c r="AR34" i="236" s="1"/>
  <c r="V62" i="244" s="1"/>
  <c r="BL32" i="236"/>
  <c r="BH32" i="236"/>
  <c r="R32" i="236"/>
  <c r="AR32" i="236" s="1"/>
  <c r="V61" i="244" s="1"/>
  <c r="BL30" i="236"/>
  <c r="BH30" i="236"/>
  <c r="R30" i="236"/>
  <c r="AR30" i="236" s="1"/>
  <c r="V60" i="244" s="1"/>
  <c r="BL28" i="236"/>
  <c r="BH28" i="236"/>
  <c r="R28" i="236"/>
  <c r="AR28" i="236" s="1"/>
  <c r="V59" i="244" s="1"/>
  <c r="BL26" i="236"/>
  <c r="BH26" i="236"/>
  <c r="R26" i="236"/>
  <c r="AR26" i="236" s="1"/>
  <c r="V58" i="244" s="1"/>
  <c r="BL24" i="236"/>
  <c r="BH24" i="236"/>
  <c r="R24" i="236"/>
  <c r="AR24" i="236" s="1"/>
  <c r="V57" i="244" s="1"/>
  <c r="BL22" i="236"/>
  <c r="BH22" i="236"/>
  <c r="R22" i="236"/>
  <c r="AR22" i="236" s="1"/>
  <c r="V56" i="244" s="1"/>
  <c r="BL20" i="236"/>
  <c r="BH20" i="236"/>
  <c r="R20" i="236"/>
  <c r="AR20" i="236" s="1"/>
  <c r="V55" i="244" s="1"/>
  <c r="BL18" i="236"/>
  <c r="R18" i="236"/>
  <c r="AR18" i="236" s="1"/>
  <c r="BH18" i="236"/>
  <c r="BK60" i="237" l="1"/>
  <c r="AR60" i="237" s="1"/>
  <c r="V54" i="244"/>
  <c r="M14" i="221"/>
  <c r="R12" i="236"/>
  <c r="BJ22" i="236"/>
  <c r="BJ26" i="236"/>
  <c r="BJ34" i="236"/>
  <c r="BJ30" i="236"/>
  <c r="BJ18" i="236"/>
  <c r="BJ28" i="236"/>
  <c r="BJ36" i="236"/>
  <c r="BJ20" i="236"/>
  <c r="BJ24" i="236"/>
  <c r="BJ32" i="236"/>
  <c r="BA26" i="236"/>
  <c r="R58" i="244" s="1"/>
  <c r="BO26" i="236"/>
  <c r="BA34" i="236"/>
  <c r="R62" i="244" s="1"/>
  <c r="BO34" i="236"/>
  <c r="BA18" i="236"/>
  <c r="R54" i="244" s="1"/>
  <c r="BO18" i="236"/>
  <c r="BA24" i="236"/>
  <c r="R57" i="244" s="1"/>
  <c r="BO24" i="236"/>
  <c r="BA32" i="236"/>
  <c r="R61" i="244" s="1"/>
  <c r="BO32" i="236"/>
  <c r="BA22" i="236"/>
  <c r="R56" i="244" s="1"/>
  <c r="BO22" i="236"/>
  <c r="BA30" i="236"/>
  <c r="R60" i="244" s="1"/>
  <c r="BO30" i="236"/>
  <c r="BA20" i="236"/>
  <c r="R55" i="244" s="1"/>
  <c r="BO20" i="236"/>
  <c r="BA28" i="236"/>
  <c r="R59" i="244" s="1"/>
  <c r="BO28" i="236"/>
  <c r="BA36" i="236"/>
  <c r="R63" i="244" s="1"/>
  <c r="BO36" i="236"/>
  <c r="BB18" i="236"/>
  <c r="BB20" i="236"/>
  <c r="BB24" i="236"/>
  <c r="BB26" i="236"/>
  <c r="BB28" i="236"/>
  <c r="BB30" i="236"/>
  <c r="BE20" i="236"/>
  <c r="BE22" i="236"/>
  <c r="G56" i="244" s="1"/>
  <c r="BE24" i="236"/>
  <c r="G57" i="244" s="1"/>
  <c r="BE26" i="236"/>
  <c r="BE28" i="236"/>
  <c r="BE30" i="236"/>
  <c r="G60" i="244" s="1"/>
  <c r="BE32" i="236"/>
  <c r="G61" i="244" s="1"/>
  <c r="BE34" i="236"/>
  <c r="G62" i="244" s="1"/>
  <c r="BE36" i="236"/>
  <c r="G63" i="244" s="1"/>
  <c r="BB22" i="236"/>
  <c r="BB32" i="236"/>
  <c r="BB34" i="236"/>
  <c r="BB36" i="236"/>
  <c r="BE18" i="236"/>
  <c r="AZ18" i="236"/>
  <c r="AZ20" i="236"/>
  <c r="AZ22" i="236"/>
  <c r="AZ24" i="236"/>
  <c r="AZ26" i="236"/>
  <c r="AZ28" i="236"/>
  <c r="AZ30" i="236"/>
  <c r="AZ32" i="236"/>
  <c r="AZ34" i="236"/>
  <c r="AZ36" i="236"/>
  <c r="AT134" i="244"/>
  <c r="G11" i="221"/>
  <c r="G10" i="221"/>
  <c r="G18" i="221"/>
  <c r="G19" i="221"/>
  <c r="G20" i="221"/>
  <c r="G21" i="221"/>
  <c r="G22" i="221"/>
  <c r="G17" i="221"/>
  <c r="BI60" i="237" l="1"/>
  <c r="BR60" i="237" s="1"/>
  <c r="V39" i="244"/>
  <c r="BJ60" i="237"/>
  <c r="T55" i="244"/>
  <c r="S55" i="244"/>
  <c r="T56" i="244"/>
  <c r="S56" i="244"/>
  <c r="AV60" i="244"/>
  <c r="AK60" i="244"/>
  <c r="AV63" i="244"/>
  <c r="AK63" i="244"/>
  <c r="G55" i="244"/>
  <c r="T62" i="244"/>
  <c r="S62" i="244"/>
  <c r="AV61" i="244"/>
  <c r="AK61" i="244"/>
  <c r="T54" i="244"/>
  <c r="S54" i="244"/>
  <c r="AV62" i="244"/>
  <c r="AK62" i="244"/>
  <c r="G59" i="244"/>
  <c r="AV59" i="244"/>
  <c r="AK59" i="244"/>
  <c r="AV54" i="244"/>
  <c r="AK54" i="244"/>
  <c r="AV58" i="244"/>
  <c r="AK58" i="244"/>
  <c r="AV55" i="244"/>
  <c r="AK55" i="244"/>
  <c r="G54" i="244"/>
  <c r="T58" i="244"/>
  <c r="S58" i="244"/>
  <c r="T61" i="244"/>
  <c r="S61" i="244"/>
  <c r="G58" i="244"/>
  <c r="AV57" i="244"/>
  <c r="AK57" i="244"/>
  <c r="AV56" i="244"/>
  <c r="AK56" i="244"/>
  <c r="T60" i="244"/>
  <c r="S60" i="244"/>
  <c r="T59" i="244"/>
  <c r="S59" i="244"/>
  <c r="T63" i="244"/>
  <c r="S63" i="244"/>
  <c r="T57" i="244"/>
  <c r="S57" i="244"/>
  <c r="AI13" i="236"/>
  <c r="J14" i="221"/>
  <c r="A9" i="242"/>
  <c r="BC20" i="243"/>
  <c r="BA20" i="243" s="1"/>
  <c r="BC21" i="243"/>
  <c r="AY21" i="243" s="1"/>
  <c r="BC22" i="243"/>
  <c r="AY22" i="243" s="1"/>
  <c r="AK23" i="243"/>
  <c r="A9" i="243"/>
  <c r="C39" i="244" l="1"/>
  <c r="T23" i="243"/>
  <c r="Q23" i="243"/>
  <c r="BC18" i="243"/>
  <c r="BA18" i="243" s="1"/>
  <c r="AC18" i="243" s="1"/>
  <c r="BB18" i="243" s="1"/>
  <c r="BB22" i="243"/>
  <c r="BB21" i="243"/>
  <c r="BA21" i="243"/>
  <c r="AC22" i="243"/>
  <c r="BA22" i="243"/>
  <c r="AC21" i="243"/>
  <c r="AZ22" i="243"/>
  <c r="AZ21" i="243"/>
  <c r="AY20" i="243"/>
  <c r="AC20" i="243"/>
  <c r="AZ20" i="243" s="1"/>
  <c r="BB20" i="243"/>
  <c r="AY39" i="244" l="1"/>
  <c r="AX39" i="244"/>
  <c r="B39" i="244"/>
  <c r="AF18" i="242"/>
  <c r="K11" i="221" s="1"/>
  <c r="AY18" i="243"/>
  <c r="AA9" i="229"/>
  <c r="W9" i="229"/>
  <c r="S9" i="229"/>
  <c r="O9" i="229"/>
  <c r="K9" i="229"/>
  <c r="G9" i="229"/>
  <c r="AS39" i="244" l="1" a="1"/>
  <c r="AS39" i="244" s="1"/>
  <c r="AR39" i="244" a="1"/>
  <c r="AR39" i="244" s="1"/>
  <c r="K9" i="240"/>
  <c r="O9" i="240"/>
  <c r="G9" i="240"/>
  <c r="K9" i="237"/>
  <c r="G9" i="237"/>
  <c r="BL56" i="237"/>
  <c r="S47" i="244"/>
  <c r="AI56" i="237"/>
  <c r="BH56" i="237" s="1"/>
  <c r="R56" i="237"/>
  <c r="BG56" i="237" s="1"/>
  <c r="P56" i="237"/>
  <c r="BL54" i="237"/>
  <c r="S46" i="244"/>
  <c r="AI54" i="237"/>
  <c r="BH54" i="237" s="1"/>
  <c r="R54" i="237"/>
  <c r="BG54" i="237" s="1"/>
  <c r="P54" i="237"/>
  <c r="BL52" i="237"/>
  <c r="S45" i="244"/>
  <c r="AI52" i="237"/>
  <c r="BH52" i="237" s="1"/>
  <c r="R52" i="237"/>
  <c r="P52" i="237"/>
  <c r="BL50" i="237"/>
  <c r="S44" i="244"/>
  <c r="AI50" i="237"/>
  <c r="BH50" i="237" s="1"/>
  <c r="R50" i="237"/>
  <c r="BG50" i="237" s="1"/>
  <c r="P50" i="237"/>
  <c r="BL48" i="237"/>
  <c r="S43" i="244"/>
  <c r="AI48" i="237"/>
  <c r="BH48" i="237" s="1"/>
  <c r="R48" i="237"/>
  <c r="BG48" i="237" s="1"/>
  <c r="P48" i="237"/>
  <c r="BL46" i="237"/>
  <c r="S32" i="244"/>
  <c r="AI46" i="237"/>
  <c r="BH46" i="237" s="1"/>
  <c r="R46" i="237"/>
  <c r="P46" i="237"/>
  <c r="BL44" i="237"/>
  <c r="S31" i="244"/>
  <c r="AI44" i="237"/>
  <c r="BH44" i="237" s="1"/>
  <c r="R44" i="237"/>
  <c r="BG44" i="237" s="1"/>
  <c r="P44" i="237"/>
  <c r="BL42" i="237"/>
  <c r="S30" i="244"/>
  <c r="AI42" i="237"/>
  <c r="BH42" i="237" s="1"/>
  <c r="R42" i="237"/>
  <c r="BG42" i="237" s="1"/>
  <c r="P42" i="237"/>
  <c r="BL40" i="237"/>
  <c r="S29" i="244"/>
  <c r="AI40" i="237"/>
  <c r="BH40" i="237" s="1"/>
  <c r="R40" i="237"/>
  <c r="P40" i="237"/>
  <c r="BL38" i="237"/>
  <c r="S28" i="244"/>
  <c r="AI38" i="237"/>
  <c r="BH38" i="237" s="1"/>
  <c r="R38" i="237"/>
  <c r="P38" i="237"/>
  <c r="BL36" i="237"/>
  <c r="S27" i="244"/>
  <c r="AI36" i="237"/>
  <c r="BH36" i="237" s="1"/>
  <c r="R36" i="237"/>
  <c r="P36" i="237"/>
  <c r="BL34" i="237"/>
  <c r="S26" i="244"/>
  <c r="AI34" i="237"/>
  <c r="BH34" i="237" s="1"/>
  <c r="R34" i="237"/>
  <c r="P34" i="237"/>
  <c r="BL32" i="237"/>
  <c r="S25" i="244"/>
  <c r="AI32" i="237"/>
  <c r="BH32" i="237" s="1"/>
  <c r="R32" i="237"/>
  <c r="P32" i="237"/>
  <c r="BL30" i="237"/>
  <c r="AI30" i="237"/>
  <c r="BH30" i="237" s="1"/>
  <c r="P30" i="237"/>
  <c r="BL28" i="237"/>
  <c r="AI28" i="237"/>
  <c r="BH28" i="237" s="1"/>
  <c r="P28" i="237"/>
  <c r="BL26" i="237"/>
  <c r="AI26" i="237"/>
  <c r="BH26" i="237" s="1"/>
  <c r="P26" i="237"/>
  <c r="BL24" i="237"/>
  <c r="AI24" i="237"/>
  <c r="BH24" i="237" s="1"/>
  <c r="P24" i="237"/>
  <c r="BL22" i="237"/>
  <c r="AI22" i="237"/>
  <c r="BH22" i="237" s="1"/>
  <c r="P22" i="237"/>
  <c r="BL20" i="237"/>
  <c r="AI20" i="237"/>
  <c r="BH20" i="237" s="1"/>
  <c r="P20" i="237"/>
  <c r="BL18" i="237"/>
  <c r="AI18" i="237"/>
  <c r="P18" i="237"/>
  <c r="BL36" i="240"/>
  <c r="BH36" i="240"/>
  <c r="R36" i="240"/>
  <c r="AR36" i="240" s="1"/>
  <c r="V79" i="244" s="1"/>
  <c r="BL34" i="240"/>
  <c r="BH34" i="240"/>
  <c r="R34" i="240"/>
  <c r="AR34" i="240" s="1"/>
  <c r="V78" i="244" s="1"/>
  <c r="BL32" i="240"/>
  <c r="BH32" i="240"/>
  <c r="R32" i="240"/>
  <c r="AR32" i="240" s="1"/>
  <c r="V77" i="244" s="1"/>
  <c r="BL30" i="240"/>
  <c r="BH30" i="240"/>
  <c r="R30" i="240"/>
  <c r="AR30" i="240" s="1"/>
  <c r="V76" i="244" s="1"/>
  <c r="BL28" i="240"/>
  <c r="BH28" i="240"/>
  <c r="R28" i="240"/>
  <c r="AR28" i="240" s="1"/>
  <c r="V75" i="244" s="1"/>
  <c r="BL26" i="240"/>
  <c r="BH26" i="240"/>
  <c r="R26" i="240"/>
  <c r="AR26" i="240" s="1"/>
  <c r="V74" i="244" s="1"/>
  <c r="BL24" i="240"/>
  <c r="BH24" i="240"/>
  <c r="R24" i="240"/>
  <c r="AR24" i="240" s="1"/>
  <c r="V73" i="244" s="1"/>
  <c r="BL22" i="240"/>
  <c r="BH22" i="240"/>
  <c r="R22" i="240"/>
  <c r="AR22" i="240" s="1"/>
  <c r="V72" i="244" s="1"/>
  <c r="BL20" i="240"/>
  <c r="BH20" i="240"/>
  <c r="R20" i="240"/>
  <c r="AR20" i="240" s="1"/>
  <c r="V71" i="244" s="1"/>
  <c r="BL18" i="240"/>
  <c r="BH18" i="240"/>
  <c r="R18" i="240"/>
  <c r="O9" i="236"/>
  <c r="BK52" i="237" l="1"/>
  <c r="BK56" i="237"/>
  <c r="BK44" i="237"/>
  <c r="BK42" i="237"/>
  <c r="BK38" i="237"/>
  <c r="BK48" i="237"/>
  <c r="BK40" i="237"/>
  <c r="BK54" i="237"/>
  <c r="BK36" i="237"/>
  <c r="BK50" i="237"/>
  <c r="BK32" i="237"/>
  <c r="BK46" i="237"/>
  <c r="BK34" i="237"/>
  <c r="BJ26" i="240"/>
  <c r="BJ34" i="240"/>
  <c r="BJ24" i="240"/>
  <c r="BJ32" i="240"/>
  <c r="BJ22" i="240"/>
  <c r="BJ30" i="240"/>
  <c r="BJ20" i="240"/>
  <c r="BJ28" i="240"/>
  <c r="BJ36" i="240"/>
  <c r="BJ40" i="237"/>
  <c r="BJ46" i="237"/>
  <c r="BJ52" i="237"/>
  <c r="BA36" i="240"/>
  <c r="R79" i="244" s="1"/>
  <c r="BO36" i="240"/>
  <c r="BA20" i="240"/>
  <c r="R71" i="244" s="1"/>
  <c r="BO20" i="240"/>
  <c r="N71" i="244" s="1"/>
  <c r="BA28" i="240"/>
  <c r="R75" i="244" s="1"/>
  <c r="BO28" i="240"/>
  <c r="BA18" i="240"/>
  <c r="R70" i="244" s="1"/>
  <c r="BO18" i="240"/>
  <c r="BA26" i="240"/>
  <c r="R74" i="244" s="1"/>
  <c r="BO26" i="240"/>
  <c r="BA34" i="240"/>
  <c r="R78" i="244" s="1"/>
  <c r="BO34" i="240"/>
  <c r="BA24" i="240"/>
  <c r="R73" i="244" s="1"/>
  <c r="BO24" i="240"/>
  <c r="BA32" i="240"/>
  <c r="R77" i="244" s="1"/>
  <c r="BO32" i="240"/>
  <c r="BA22" i="240"/>
  <c r="R72" i="244" s="1"/>
  <c r="BO22" i="240"/>
  <c r="BA30" i="240"/>
  <c r="R76" i="244" s="1"/>
  <c r="BO30" i="240"/>
  <c r="BB22" i="240"/>
  <c r="BB24" i="240"/>
  <c r="BB26" i="240"/>
  <c r="BB28" i="240"/>
  <c r="BB30" i="240"/>
  <c r="BB32" i="240"/>
  <c r="BB34" i="240"/>
  <c r="BB36" i="240"/>
  <c r="BE22" i="240"/>
  <c r="G72" i="244" s="1"/>
  <c r="BE24" i="240"/>
  <c r="BE26" i="240"/>
  <c r="BE28" i="240"/>
  <c r="BE30" i="240"/>
  <c r="BE32" i="240"/>
  <c r="G77" i="244" s="1"/>
  <c r="BE34" i="240"/>
  <c r="BE36" i="240"/>
  <c r="G79" i="244" s="1"/>
  <c r="BB18" i="240"/>
  <c r="BB20" i="240"/>
  <c r="BE18" i="240"/>
  <c r="G70" i="244" s="1"/>
  <c r="BE20" i="240"/>
  <c r="G71" i="244" s="1"/>
  <c r="AZ18" i="240"/>
  <c r="AZ20" i="240"/>
  <c r="AZ22" i="240"/>
  <c r="AZ24" i="240"/>
  <c r="AZ26" i="240"/>
  <c r="AZ28" i="240"/>
  <c r="AZ30" i="240"/>
  <c r="AZ32" i="240"/>
  <c r="AZ34" i="240"/>
  <c r="AZ36" i="240"/>
  <c r="R16" i="209"/>
  <c r="T77" i="244" l="1"/>
  <c r="S77" i="244"/>
  <c r="T75" i="244"/>
  <c r="S75" i="244"/>
  <c r="T73" i="244"/>
  <c r="S73" i="244"/>
  <c r="N74" i="244"/>
  <c r="AV71" i="244"/>
  <c r="AK71" i="244"/>
  <c r="T76" i="244"/>
  <c r="S76" i="244"/>
  <c r="N76" i="244"/>
  <c r="AV78" i="244"/>
  <c r="AK78" i="244"/>
  <c r="AV74" i="244"/>
  <c r="AK74" i="244"/>
  <c r="AV73" i="244"/>
  <c r="AK73" i="244"/>
  <c r="T78" i="244"/>
  <c r="S78" i="244"/>
  <c r="T74" i="244"/>
  <c r="S74" i="244"/>
  <c r="T71" i="244"/>
  <c r="S71" i="244"/>
  <c r="T72" i="244"/>
  <c r="S72" i="244"/>
  <c r="AV79" i="244"/>
  <c r="AK79" i="244"/>
  <c r="G75" i="244"/>
  <c r="T70" i="244"/>
  <c r="S70" i="244"/>
  <c r="G76" i="244"/>
  <c r="G74" i="244"/>
  <c r="T79" i="244"/>
  <c r="S79" i="244"/>
  <c r="AV72" i="244"/>
  <c r="AK72" i="244"/>
  <c r="AV70" i="244"/>
  <c r="AK70" i="244"/>
  <c r="G78" i="244"/>
  <c r="N72" i="244"/>
  <c r="AV77" i="244"/>
  <c r="AK77" i="244"/>
  <c r="AV76" i="244"/>
  <c r="AK76" i="244"/>
  <c r="AV75" i="244"/>
  <c r="AK75" i="244"/>
  <c r="G73" i="244"/>
  <c r="J15" i="221"/>
  <c r="AD22" i="214"/>
  <c r="J20" i="221"/>
  <c r="AK134" i="244"/>
  <c r="AL31" i="241"/>
  <c r="AM30" i="241"/>
  <c r="AL30" i="241"/>
  <c r="AM29" i="241"/>
  <c r="AL29" i="241"/>
  <c r="AM27" i="241"/>
  <c r="AL26" i="241"/>
  <c r="AM25" i="241"/>
  <c r="AL25" i="241"/>
  <c r="AM24" i="241"/>
  <c r="AL24" i="241"/>
  <c r="AM23" i="241"/>
  <c r="AL23" i="241"/>
  <c r="AM22" i="241"/>
  <c r="K9" i="236"/>
  <c r="G9" i="236"/>
  <c r="BK36" i="240"/>
  <c r="N79" i="244" s="1"/>
  <c r="BK34" i="240"/>
  <c r="N78" i="244" s="1"/>
  <c r="BM34" i="240"/>
  <c r="BK32" i="240"/>
  <c r="N77" i="244" s="1"/>
  <c r="BM30" i="240"/>
  <c r="BK30" i="240"/>
  <c r="BK28" i="240"/>
  <c r="N75" i="244" s="1"/>
  <c r="AY28" i="240"/>
  <c r="BK26" i="240"/>
  <c r="BM26" i="240"/>
  <c r="BK24" i="240"/>
  <c r="N73" i="244" s="1"/>
  <c r="AO24" i="240"/>
  <c r="BM24" i="240"/>
  <c r="BM22" i="240"/>
  <c r="BK22" i="240"/>
  <c r="BK36" i="236"/>
  <c r="N63" i="244" s="1"/>
  <c r="AY36" i="236"/>
  <c r="BK34" i="236"/>
  <c r="N62" i="244" s="1"/>
  <c r="BK32" i="236"/>
  <c r="N61" i="244" s="1"/>
  <c r="BK30" i="236"/>
  <c r="N60" i="244" s="1"/>
  <c r="BM30" i="236"/>
  <c r="BK28" i="236"/>
  <c r="N59" i="244" s="1"/>
  <c r="BK24" i="236"/>
  <c r="N57" i="244" s="1"/>
  <c r="BK22" i="236"/>
  <c r="N56" i="244" s="1"/>
  <c r="BM22" i="236"/>
  <c r="BK20" i="236"/>
  <c r="N55" i="244" s="1"/>
  <c r="AY20" i="236"/>
  <c r="L75" i="244" l="1"/>
  <c r="AJ75" i="244"/>
  <c r="L63" i="244"/>
  <c r="AJ63" i="244"/>
  <c r="L55" i="244"/>
  <c r="AJ55" i="244"/>
  <c r="AZ28" i="230"/>
  <c r="AU91" i="244" s="1"/>
  <c r="AZ20" i="230"/>
  <c r="AU87" i="244" s="1"/>
  <c r="AZ22" i="230"/>
  <c r="AU88" i="244" s="1"/>
  <c r="AZ24" i="230"/>
  <c r="AU89" i="244" s="1"/>
  <c r="AZ34" i="230"/>
  <c r="AU94" i="244" s="1"/>
  <c r="AZ36" i="230"/>
  <c r="AU95" i="244" s="1"/>
  <c r="AZ32" i="230"/>
  <c r="AU93" i="244" s="1"/>
  <c r="AZ26" i="230"/>
  <c r="AU90" i="244" s="1"/>
  <c r="AZ30" i="230"/>
  <c r="AU92" i="244" s="1"/>
  <c r="AZ18" i="230"/>
  <c r="AU86" i="244" s="1"/>
  <c r="AZ18" i="231"/>
  <c r="AU102" i="244" s="1"/>
  <c r="BO20" i="242"/>
  <c r="BO22" i="242"/>
  <c r="AI15" i="244" s="1"/>
  <c r="BO24" i="242"/>
  <c r="AI16" i="244" s="1"/>
  <c r="BQ18" i="229"/>
  <c r="AZ24" i="242"/>
  <c r="AU16" i="244" s="1"/>
  <c r="AZ22" i="242"/>
  <c r="AU15" i="244" s="1"/>
  <c r="AZ20" i="242"/>
  <c r="AU14" i="244" s="1"/>
  <c r="AJ134" i="244"/>
  <c r="N20" i="244"/>
  <c r="N24" i="244"/>
  <c r="N28" i="244"/>
  <c r="N32" i="244"/>
  <c r="N36" i="244"/>
  <c r="N21" i="244"/>
  <c r="N25" i="244"/>
  <c r="N29" i="244"/>
  <c r="N33" i="244"/>
  <c r="N37" i="244"/>
  <c r="N26" i="244"/>
  <c r="N30" i="244"/>
  <c r="N34" i="244"/>
  <c r="BI32" i="240"/>
  <c r="BN32" i="240" s="1"/>
  <c r="N27" i="244"/>
  <c r="N31" i="244"/>
  <c r="N35" i="244"/>
  <c r="BI30" i="240"/>
  <c r="BN30" i="240" s="1"/>
  <c r="G41" i="209"/>
  <c r="DE2" i="244"/>
  <c r="AH22" i="218"/>
  <c r="AI22" i="218"/>
  <c r="AJ22" i="218"/>
  <c r="L20" i="221"/>
  <c r="L29" i="221" s="1"/>
  <c r="L31" i="221" s="1"/>
  <c r="H20" i="221"/>
  <c r="I20" i="221"/>
  <c r="AZ30" i="232"/>
  <c r="AU124" i="244" s="1"/>
  <c r="AZ26" i="233"/>
  <c r="AU154" i="244" s="1"/>
  <c r="AZ30" i="233"/>
  <c r="AU156" i="244" s="1"/>
  <c r="AZ18" i="234"/>
  <c r="AU166" i="244" s="1"/>
  <c r="AZ28" i="233"/>
  <c r="AU155" i="244" s="1"/>
  <c r="AZ20" i="232"/>
  <c r="AU119" i="244" s="1"/>
  <c r="AZ34" i="231"/>
  <c r="AU110" i="244" s="1"/>
  <c r="AZ24" i="231"/>
  <c r="AU105" i="244" s="1"/>
  <c r="AZ20" i="229"/>
  <c r="AU135" i="244" s="1"/>
  <c r="AZ28" i="231"/>
  <c r="AU107" i="244" s="1"/>
  <c r="AZ34" i="233"/>
  <c r="AU158" i="244" s="1"/>
  <c r="AZ26" i="232"/>
  <c r="AU122" i="244" s="1"/>
  <c r="AZ22" i="234"/>
  <c r="AU168" i="244" s="1"/>
  <c r="AZ34" i="229"/>
  <c r="AU142" i="244" s="1"/>
  <c r="AZ18" i="233"/>
  <c r="AU150" i="244" s="1"/>
  <c r="AZ20" i="234"/>
  <c r="AU167" i="244" s="1"/>
  <c r="AZ24" i="233"/>
  <c r="AU153" i="244" s="1"/>
  <c r="AZ32" i="232"/>
  <c r="AU125" i="244" s="1"/>
  <c r="AZ30" i="231"/>
  <c r="AU108" i="244" s="1"/>
  <c r="AZ20" i="231"/>
  <c r="AU103" i="244" s="1"/>
  <c r="AZ30" i="229"/>
  <c r="AU140" i="244" s="1"/>
  <c r="AZ32" i="229"/>
  <c r="AU141" i="244" s="1"/>
  <c r="AZ36" i="229"/>
  <c r="AU143" i="244" s="1"/>
  <c r="AZ22" i="233"/>
  <c r="AU152" i="244" s="1"/>
  <c r="AZ18" i="232"/>
  <c r="AU118" i="244" s="1"/>
  <c r="AZ32" i="233"/>
  <c r="AU157" i="244" s="1"/>
  <c r="AZ24" i="232"/>
  <c r="AU121" i="244" s="1"/>
  <c r="AZ22" i="229"/>
  <c r="AU136" i="244" s="1"/>
  <c r="AZ36" i="231"/>
  <c r="AU111" i="244" s="1"/>
  <c r="AZ22" i="232"/>
  <c r="AU120" i="244" s="1"/>
  <c r="AZ34" i="232"/>
  <c r="AU126" i="244" s="1"/>
  <c r="AZ36" i="233"/>
  <c r="AU159" i="244" s="1"/>
  <c r="AZ20" i="233"/>
  <c r="AU151" i="244" s="1"/>
  <c r="AZ36" i="232"/>
  <c r="AU127" i="244" s="1"/>
  <c r="AZ28" i="232"/>
  <c r="AU123" i="244" s="1"/>
  <c r="AZ26" i="231"/>
  <c r="AU106" i="244" s="1"/>
  <c r="AZ32" i="231"/>
  <c r="AU109" i="244" s="1"/>
  <c r="AZ26" i="229"/>
  <c r="AU138" i="244" s="1"/>
  <c r="AZ28" i="229"/>
  <c r="AU139" i="244" s="1"/>
  <c r="AZ24" i="234"/>
  <c r="AU169" i="244" s="1"/>
  <c r="AZ22" i="231"/>
  <c r="AU104" i="244" s="1"/>
  <c r="AZ24" i="229"/>
  <c r="AU137" i="244" s="1"/>
  <c r="BE24" i="237"/>
  <c r="R21" i="244"/>
  <c r="AZ24" i="237"/>
  <c r="AK21" i="244" s="1"/>
  <c r="R25" i="244"/>
  <c r="AZ32" i="237"/>
  <c r="AK25" i="244" s="1"/>
  <c r="BE32" i="237"/>
  <c r="U25" i="244" s="1"/>
  <c r="BE40" i="237"/>
  <c r="U29" i="244" s="1"/>
  <c r="T29" i="244"/>
  <c r="R29" i="244"/>
  <c r="AZ40" i="237"/>
  <c r="AK29" i="244" s="1"/>
  <c r="R43" i="244"/>
  <c r="AZ48" i="237"/>
  <c r="BE48" i="237"/>
  <c r="U43" i="244" s="1"/>
  <c r="T43" i="244"/>
  <c r="BE56" i="237"/>
  <c r="U47" i="244" s="1"/>
  <c r="T47" i="244"/>
  <c r="R47" i="244"/>
  <c r="AZ56" i="237"/>
  <c r="R22" i="244"/>
  <c r="AZ26" i="237"/>
  <c r="AK22" i="244" s="1"/>
  <c r="BE26" i="237"/>
  <c r="AZ34" i="237"/>
  <c r="AK26" i="244" s="1"/>
  <c r="BE34" i="237"/>
  <c r="U26" i="244" s="1"/>
  <c r="R26" i="244"/>
  <c r="BE42" i="237"/>
  <c r="U30" i="244" s="1"/>
  <c r="T30" i="244"/>
  <c r="R30" i="244"/>
  <c r="AZ42" i="237"/>
  <c r="AK30" i="244" s="1"/>
  <c r="R44" i="244"/>
  <c r="AZ50" i="237"/>
  <c r="BE50" i="237"/>
  <c r="U44" i="244" s="1"/>
  <c r="T44" i="244"/>
  <c r="AZ20" i="237"/>
  <c r="AK19" i="244" s="1"/>
  <c r="BE20" i="237"/>
  <c r="R19" i="244"/>
  <c r="R23" i="244"/>
  <c r="AZ28" i="237"/>
  <c r="AK23" i="244" s="1"/>
  <c r="BE28" i="237"/>
  <c r="AZ36" i="237"/>
  <c r="AK27" i="244" s="1"/>
  <c r="BE36" i="237"/>
  <c r="U27" i="244" s="1"/>
  <c r="R27" i="244"/>
  <c r="T31" i="244"/>
  <c r="R31" i="244"/>
  <c r="AZ44" i="237"/>
  <c r="AK31" i="244" s="1"/>
  <c r="BE44" i="237"/>
  <c r="U31" i="244" s="1"/>
  <c r="AZ52" i="237"/>
  <c r="BE52" i="237"/>
  <c r="U45" i="244" s="1"/>
  <c r="T45" i="244"/>
  <c r="R45" i="244"/>
  <c r="BE22" i="237"/>
  <c r="R20" i="244"/>
  <c r="AZ22" i="237"/>
  <c r="AK20" i="244" s="1"/>
  <c r="R24" i="244"/>
  <c r="AZ30" i="237"/>
  <c r="AK24" i="244" s="1"/>
  <c r="BE30" i="237"/>
  <c r="T24" i="244"/>
  <c r="AZ38" i="237"/>
  <c r="AK28" i="244" s="1"/>
  <c r="BE38" i="237"/>
  <c r="U28" i="244" s="1"/>
  <c r="R28" i="244"/>
  <c r="R32" i="244"/>
  <c r="AZ46" i="237"/>
  <c r="AK32" i="244" s="1"/>
  <c r="BE46" i="237"/>
  <c r="U32" i="244" s="1"/>
  <c r="AZ54" i="237"/>
  <c r="BE54" i="237"/>
  <c r="U46" i="244" s="1"/>
  <c r="T46" i="244"/>
  <c r="R46" i="244"/>
  <c r="AZ18" i="237"/>
  <c r="AK18" i="244" s="1"/>
  <c r="BE18" i="237"/>
  <c r="AO22" i="236"/>
  <c r="AO30" i="236"/>
  <c r="AO26" i="240"/>
  <c r="AY26" i="240" s="1"/>
  <c r="AO34" i="240"/>
  <c r="AO22" i="240"/>
  <c r="AY28" i="236"/>
  <c r="BM32" i="236"/>
  <c r="AO32" i="236"/>
  <c r="BM24" i="236"/>
  <c r="AO24" i="236"/>
  <c r="BM20" i="240"/>
  <c r="AY30" i="240"/>
  <c r="AY32" i="240"/>
  <c r="AO18" i="240"/>
  <c r="AY24" i="240"/>
  <c r="AY34" i="240"/>
  <c r="BM32" i="240"/>
  <c r="AO30" i="240"/>
  <c r="AO32" i="240"/>
  <c r="AO34" i="236"/>
  <c r="AY40" i="237"/>
  <c r="L29" i="244" s="1"/>
  <c r="AY52" i="237"/>
  <c r="L35" i="244" s="1"/>
  <c r="AO36" i="236"/>
  <c r="BM36" i="236"/>
  <c r="AO18" i="236"/>
  <c r="AO28" i="236"/>
  <c r="BM28" i="236"/>
  <c r="AY34" i="236"/>
  <c r="BM34" i="236"/>
  <c r="AY46" i="237"/>
  <c r="L32" i="244" s="1"/>
  <c r="AO20" i="240"/>
  <c r="AY20" i="240" s="1"/>
  <c r="AO26" i="236"/>
  <c r="AY26" i="236" s="1"/>
  <c r="AO20" i="236"/>
  <c r="BM20" i="236"/>
  <c r="BM20" i="237"/>
  <c r="BM22" i="237"/>
  <c r="BM24" i="237"/>
  <c r="BM26" i="237"/>
  <c r="BM28" i="237"/>
  <c r="AO30" i="237"/>
  <c r="AY30" i="237" s="1"/>
  <c r="L24" i="244" s="1"/>
  <c r="BM30" i="237"/>
  <c r="AO32" i="237"/>
  <c r="AY32" i="237" s="1"/>
  <c r="L25" i="244" s="1"/>
  <c r="BM32" i="237"/>
  <c r="AO34" i="237"/>
  <c r="BM34" i="237"/>
  <c r="AO36" i="237"/>
  <c r="AY36" i="237" s="1"/>
  <c r="L27" i="244" s="1"/>
  <c r="BM36" i="237"/>
  <c r="AO38" i="237"/>
  <c r="AY38" i="237" s="1"/>
  <c r="L28" i="244" s="1"/>
  <c r="BM38" i="237"/>
  <c r="AO40" i="237"/>
  <c r="BM40" i="237"/>
  <c r="AO42" i="237"/>
  <c r="BM42" i="237"/>
  <c r="AO44" i="237"/>
  <c r="AY44" i="237" s="1"/>
  <c r="L31" i="244" s="1"/>
  <c r="BM44" i="237"/>
  <c r="AO46" i="237"/>
  <c r="BM46" i="237"/>
  <c r="AO48" i="237"/>
  <c r="AY48" i="237" s="1"/>
  <c r="L33" i="244" s="1"/>
  <c r="BM48" i="237"/>
  <c r="AO50" i="237"/>
  <c r="AY50" i="237" s="1"/>
  <c r="L34" i="244" s="1"/>
  <c r="BM50" i="237"/>
  <c r="AO52" i="237"/>
  <c r="BM52" i="237"/>
  <c r="AO54" i="237"/>
  <c r="AY54" i="237" s="1"/>
  <c r="L36" i="244" s="1"/>
  <c r="BM54" i="237"/>
  <c r="AO56" i="237"/>
  <c r="BM56" i="237"/>
  <c r="AO28" i="240"/>
  <c r="BM28" i="240"/>
  <c r="AY36" i="240"/>
  <c r="BM36" i="240"/>
  <c r="AY22" i="236"/>
  <c r="AY30" i="236"/>
  <c r="AY24" i="236"/>
  <c r="AY32" i="236"/>
  <c r="AO36" i="240"/>
  <c r="O88" i="215"/>
  <c r="O87" i="215"/>
  <c r="N25" i="215"/>
  <c r="K17" i="215"/>
  <c r="N28" i="215"/>
  <c r="N30" i="215" s="1"/>
  <c r="N19" i="215"/>
  <c r="N20" i="215"/>
  <c r="X20" i="215"/>
  <c r="N23" i="215"/>
  <c r="N22" i="215"/>
  <c r="DM2" i="244"/>
  <c r="A9" i="226"/>
  <c r="A9" i="227"/>
  <c r="G8" i="221"/>
  <c r="B2" i="221"/>
  <c r="B4" i="221"/>
  <c r="AR54" i="237" l="1"/>
  <c r="BI54" i="237" s="1"/>
  <c r="AY56" i="237"/>
  <c r="L37" i="244" s="1"/>
  <c r="AR50" i="237"/>
  <c r="AR38" i="237"/>
  <c r="BI38" i="237" s="1"/>
  <c r="BR38" i="237" s="1"/>
  <c r="AY42" i="237"/>
  <c r="L30" i="244" s="1"/>
  <c r="AR44" i="237"/>
  <c r="AR32" i="237"/>
  <c r="BI32" i="237" s="1"/>
  <c r="BR32" i="237" s="1"/>
  <c r="AR48" i="237"/>
  <c r="BI48" i="237" s="1"/>
  <c r="AR36" i="237"/>
  <c r="BI36" i="237" s="1"/>
  <c r="BR36" i="237" s="1"/>
  <c r="AY34" i="237"/>
  <c r="L26" i="244" s="1"/>
  <c r="N15" i="221"/>
  <c r="I15" i="221"/>
  <c r="H15" i="221"/>
  <c r="Z12" i="240"/>
  <c r="N14" i="221"/>
  <c r="I14" i="221"/>
  <c r="H14" i="221"/>
  <c r="Z12" i="236"/>
  <c r="L76" i="244"/>
  <c r="AJ76" i="244"/>
  <c r="L77" i="244"/>
  <c r="AJ77" i="244"/>
  <c r="L74" i="244"/>
  <c r="AJ74" i="244"/>
  <c r="L78" i="244"/>
  <c r="AJ78" i="244"/>
  <c r="L73" i="244"/>
  <c r="AJ73" i="244"/>
  <c r="L71" i="244"/>
  <c r="AJ71" i="244"/>
  <c r="L79" i="244"/>
  <c r="AJ79" i="244"/>
  <c r="L61" i="244"/>
  <c r="AJ61" i="244"/>
  <c r="L59" i="244"/>
  <c r="AJ59" i="244"/>
  <c r="L58" i="244"/>
  <c r="AJ58" i="244"/>
  <c r="L57" i="244"/>
  <c r="AJ57" i="244"/>
  <c r="L60" i="244"/>
  <c r="AJ60" i="244"/>
  <c r="L56" i="244"/>
  <c r="AJ56" i="244"/>
  <c r="L62" i="244"/>
  <c r="AJ62" i="244"/>
  <c r="AJ37" i="244"/>
  <c r="AK37" i="244"/>
  <c r="AJ35" i="244"/>
  <c r="AK35" i="244"/>
  <c r="AJ34" i="244"/>
  <c r="AK34" i="244"/>
  <c r="AJ33" i="244"/>
  <c r="AK33" i="244"/>
  <c r="AJ36" i="244"/>
  <c r="AK36" i="244"/>
  <c r="T28" i="244"/>
  <c r="T27" i="244"/>
  <c r="AV30" i="244"/>
  <c r="AJ30" i="244"/>
  <c r="AV24" i="244"/>
  <c r="AJ24" i="244"/>
  <c r="AV18" i="244"/>
  <c r="AV27" i="244"/>
  <c r="AJ27" i="244"/>
  <c r="AV29" i="244"/>
  <c r="AJ29" i="244"/>
  <c r="AV20" i="244"/>
  <c r="AV23" i="244"/>
  <c r="T26" i="244"/>
  <c r="AV26" i="244"/>
  <c r="AJ26" i="244"/>
  <c r="T25" i="244"/>
  <c r="AV31" i="244"/>
  <c r="AJ31" i="244"/>
  <c r="AV32" i="244"/>
  <c r="AJ32" i="244"/>
  <c r="AV22" i="244"/>
  <c r="AV28" i="244"/>
  <c r="AJ28" i="244"/>
  <c r="AV25" i="244"/>
  <c r="AJ25" i="244"/>
  <c r="T32" i="244"/>
  <c r="AV19" i="244"/>
  <c r="AV21" i="244"/>
  <c r="AV45" i="244"/>
  <c r="AV35" i="244"/>
  <c r="AV43" i="244"/>
  <c r="AV33" i="244"/>
  <c r="AV46" i="244"/>
  <c r="AV36" i="244"/>
  <c r="AV44" i="244"/>
  <c r="AV34" i="244"/>
  <c r="AV47" i="244"/>
  <c r="AV37" i="244"/>
  <c r="AY22" i="240"/>
  <c r="BI20" i="240"/>
  <c r="BN20" i="240" s="1"/>
  <c r="AH29" i="218"/>
  <c r="L16" i="244"/>
  <c r="O16" i="244"/>
  <c r="N16" i="244"/>
  <c r="L15" i="244"/>
  <c r="O15" i="244"/>
  <c r="N15" i="244"/>
  <c r="G33" i="244"/>
  <c r="G47" i="244"/>
  <c r="G51" i="244"/>
  <c r="G37" i="244"/>
  <c r="G42" i="244"/>
  <c r="G46" i="244"/>
  <c r="G41" i="244"/>
  <c r="G50" i="244"/>
  <c r="G36" i="244"/>
  <c r="G45" i="244"/>
  <c r="G35" i="244"/>
  <c r="G40" i="244"/>
  <c r="G49" i="244"/>
  <c r="G44" i="244"/>
  <c r="G39" i="244"/>
  <c r="G34" i="244"/>
  <c r="G48" i="244"/>
  <c r="G38" i="244"/>
  <c r="G43" i="244"/>
  <c r="G52" i="244"/>
  <c r="S16" i="244"/>
  <c r="U16" i="244"/>
  <c r="AA16" i="244"/>
  <c r="AB16" i="244"/>
  <c r="AH16" i="244"/>
  <c r="P16" i="244"/>
  <c r="V16" i="244"/>
  <c r="AC16" i="244"/>
  <c r="Q16" i="244"/>
  <c r="Y16" i="244"/>
  <c r="AD16" i="244"/>
  <c r="U15" i="244"/>
  <c r="AB15" i="244"/>
  <c r="AH15" i="244"/>
  <c r="P15" i="244"/>
  <c r="V15" i="244"/>
  <c r="AC15" i="244"/>
  <c r="S15" i="244"/>
  <c r="Q15" i="244"/>
  <c r="Y15" i="244"/>
  <c r="AD15" i="244"/>
  <c r="AA15" i="244"/>
  <c r="N21" i="215"/>
  <c r="K45" i="215"/>
  <c r="BI28" i="240"/>
  <c r="BN28" i="240" s="1"/>
  <c r="BI36" i="240"/>
  <c r="BN36" i="240" s="1"/>
  <c r="BI24" i="236"/>
  <c r="BN24" i="236" s="1"/>
  <c r="BI34" i="236"/>
  <c r="BN34" i="236" s="1"/>
  <c r="BI20" i="236"/>
  <c r="BN20" i="236" s="1"/>
  <c r="BI30" i="236"/>
  <c r="BN30" i="236" s="1"/>
  <c r="BI34" i="240"/>
  <c r="BN34" i="240" s="1"/>
  <c r="G21" i="244"/>
  <c r="G25" i="244"/>
  <c r="G29" i="244"/>
  <c r="G20" i="244"/>
  <c r="G22" i="244"/>
  <c r="G26" i="244"/>
  <c r="G30" i="244"/>
  <c r="G18" i="244"/>
  <c r="G24" i="244"/>
  <c r="G32" i="244"/>
  <c r="G19" i="244"/>
  <c r="G23" i="244"/>
  <c r="G27" i="244"/>
  <c r="G31" i="244"/>
  <c r="G28" i="244"/>
  <c r="O25" i="220"/>
  <c r="DN2" i="244"/>
  <c r="O24" i="220"/>
  <c r="DK2" i="244"/>
  <c r="O26" i="220"/>
  <c r="DO2" i="244"/>
  <c r="Z31" i="209"/>
  <c r="DL2" i="244"/>
  <c r="BI36" i="236"/>
  <c r="BN36" i="236" s="1"/>
  <c r="BI22" i="236"/>
  <c r="BN22" i="236" s="1"/>
  <c r="BI28" i="236"/>
  <c r="BN28" i="236" s="1"/>
  <c r="C76" i="244"/>
  <c r="C77" i="244"/>
  <c r="BI32" i="236"/>
  <c r="BN32" i="236" s="1"/>
  <c r="C46" i="244"/>
  <c r="BI46" i="237"/>
  <c r="BR46" i="237" s="1"/>
  <c r="C43" i="244"/>
  <c r="BI44" i="237"/>
  <c r="BR44" i="237" s="1"/>
  <c r="C47" i="244"/>
  <c r="BI50" i="237"/>
  <c r="C44" i="244"/>
  <c r="BI40" i="237"/>
  <c r="BR40" i="237" s="1"/>
  <c r="BI52" i="237"/>
  <c r="C45" i="244"/>
  <c r="U33" i="209"/>
  <c r="W26" i="207"/>
  <c r="W26" i="208"/>
  <c r="W25" i="207"/>
  <c r="U31" i="209"/>
  <c r="W25" i="208"/>
  <c r="W27" i="208"/>
  <c r="U34" i="209"/>
  <c r="W27" i="207"/>
  <c r="AJ29" i="218"/>
  <c r="AI29" i="218"/>
  <c r="U27" i="218"/>
  <c r="U32" i="209"/>
  <c r="F31" i="218"/>
  <c r="P27" i="218"/>
  <c r="P28" i="218"/>
  <c r="P26" i="218"/>
  <c r="BC29" i="109"/>
  <c r="BC28" i="109"/>
  <c r="BA28" i="109"/>
  <c r="BA29" i="109"/>
  <c r="BD28" i="109"/>
  <c r="BD29" i="109"/>
  <c r="BB28" i="109"/>
  <c r="BB29" i="109"/>
  <c r="AY18" i="240"/>
  <c r="AY18" i="236"/>
  <c r="V12" i="236" s="1"/>
  <c r="BB200" i="240"/>
  <c r="BA200" i="240"/>
  <c r="BB200" i="236"/>
  <c r="BA200" i="236"/>
  <c r="N29" i="215"/>
  <c r="V27" i="244" l="1"/>
  <c r="C27" i="244" s="1"/>
  <c r="BJ36" i="237"/>
  <c r="V33" i="244"/>
  <c r="C33" i="244" s="1"/>
  <c r="BJ48" i="237"/>
  <c r="V25" i="244"/>
  <c r="C25" i="244" s="1"/>
  <c r="BJ32" i="237"/>
  <c r="V31" i="244"/>
  <c r="C31" i="244" s="1"/>
  <c r="BJ44" i="237"/>
  <c r="V28" i="244"/>
  <c r="C28" i="244" s="1"/>
  <c r="BJ38" i="237"/>
  <c r="V34" i="244"/>
  <c r="C34" i="244" s="1"/>
  <c r="BJ50" i="237"/>
  <c r="AR42" i="237"/>
  <c r="V36" i="244"/>
  <c r="C36" i="244" s="1"/>
  <c r="BJ54" i="237"/>
  <c r="AR56" i="237"/>
  <c r="AR34" i="237"/>
  <c r="V12" i="240"/>
  <c r="BR48" i="237"/>
  <c r="BR54" i="237"/>
  <c r="BR52" i="237"/>
  <c r="C35" i="244"/>
  <c r="BR50" i="237"/>
  <c r="L72" i="244"/>
  <c r="AJ72" i="244"/>
  <c r="L70" i="244"/>
  <c r="AJ70" i="244"/>
  <c r="L54" i="244"/>
  <c r="AJ54" i="244"/>
  <c r="B47" i="244"/>
  <c r="AY47" i="244"/>
  <c r="AS47" i="244" s="1" a="1"/>
  <c r="AS47" i="244" s="1"/>
  <c r="B46" i="244"/>
  <c r="AY46" i="244"/>
  <c r="AS46" i="244" s="1" a="1"/>
  <c r="AS46" i="244" s="1"/>
  <c r="B44" i="244"/>
  <c r="AY44" i="244"/>
  <c r="AS44" i="244" s="1" a="1"/>
  <c r="AS44" i="244" s="1"/>
  <c r="B45" i="244"/>
  <c r="AY45" i="244"/>
  <c r="AS45" i="244" s="1" a="1"/>
  <c r="AS45" i="244" s="1"/>
  <c r="B43" i="244"/>
  <c r="AY43" i="244"/>
  <c r="AS43" i="244" s="1" a="1"/>
  <c r="AS43" i="244" s="1"/>
  <c r="BI26" i="240"/>
  <c r="BN26" i="240" s="1"/>
  <c r="C71" i="244"/>
  <c r="BI24" i="240"/>
  <c r="BN24" i="240" s="1"/>
  <c r="BO18" i="237"/>
  <c r="N18" i="244" s="1"/>
  <c r="BO20" i="237"/>
  <c r="N19" i="244" s="1"/>
  <c r="C79" i="244"/>
  <c r="B79" i="244" s="1"/>
  <c r="C78" i="244"/>
  <c r="B78" i="244" s="1"/>
  <c r="C62" i="244"/>
  <c r="B62" i="244" s="1"/>
  <c r="C61" i="244"/>
  <c r="C59" i="244"/>
  <c r="C63" i="244"/>
  <c r="K15" i="221"/>
  <c r="C60" i="244"/>
  <c r="C55" i="244"/>
  <c r="C57" i="244"/>
  <c r="C75" i="244"/>
  <c r="B76" i="244"/>
  <c r="AX76" i="244"/>
  <c r="AY200" i="240"/>
  <c r="K14" i="221"/>
  <c r="AX77" i="244"/>
  <c r="B77" i="244"/>
  <c r="C56" i="244"/>
  <c r="C32" i="244"/>
  <c r="C29" i="244"/>
  <c r="AX43" i="244"/>
  <c r="C16" i="116" a="1"/>
  <c r="C16" i="116" s="1"/>
  <c r="C14" i="116" a="1"/>
  <c r="C14" i="116" s="1"/>
  <c r="C12" i="116" a="1"/>
  <c r="C12" i="116" s="1"/>
  <c r="C15" i="116" a="1"/>
  <c r="C15" i="116" s="1"/>
  <c r="C13" i="116" a="1"/>
  <c r="C13" i="116" s="1"/>
  <c r="C11" i="116" a="1"/>
  <c r="C11" i="116" s="1"/>
  <c r="AY200" i="236"/>
  <c r="V26" i="244" l="1"/>
  <c r="BJ34" i="237"/>
  <c r="BI34" i="237"/>
  <c r="BR34" i="237" s="1"/>
  <c r="V37" i="244"/>
  <c r="BJ56" i="237"/>
  <c r="BI56" i="237"/>
  <c r="BR56" i="237" s="1"/>
  <c r="V30" i="244"/>
  <c r="BJ42" i="237"/>
  <c r="BI42" i="237"/>
  <c r="BR42" i="237" s="1"/>
  <c r="AY34" i="244"/>
  <c r="B34" i="244"/>
  <c r="AX34" i="244"/>
  <c r="AY35" i="244"/>
  <c r="B35" i="244"/>
  <c r="AX35" i="244"/>
  <c r="AY36" i="244"/>
  <c r="B36" i="244"/>
  <c r="AX36" i="244"/>
  <c r="AY33" i="244"/>
  <c r="AX33" i="244"/>
  <c r="B33" i="244"/>
  <c r="AR43" i="244" a="1"/>
  <c r="AR43" i="244" s="1"/>
  <c r="AR45" i="244" a="1"/>
  <c r="AR45" i="244" s="1"/>
  <c r="AR47" i="244" a="1"/>
  <c r="AR47" i="244" s="1"/>
  <c r="AR44" i="244" a="1"/>
  <c r="AR44" i="244" s="1"/>
  <c r="AR46" i="244" a="1"/>
  <c r="AR46" i="244" s="1"/>
  <c r="B32" i="244"/>
  <c r="AY32" i="244"/>
  <c r="AS32" i="244" s="1" a="1"/>
  <c r="AS32" i="244" s="1"/>
  <c r="AX25" i="244"/>
  <c r="AY25" i="244"/>
  <c r="AS25" i="244" s="1" a="1"/>
  <c r="AS25" i="244" s="1"/>
  <c r="B29" i="244"/>
  <c r="AY29" i="244"/>
  <c r="AS29" i="244" s="1" a="1"/>
  <c r="AS29" i="244" s="1"/>
  <c r="AX31" i="244"/>
  <c r="AY31" i="244"/>
  <c r="AS31" i="244" s="1" a="1"/>
  <c r="AS31" i="244" s="1"/>
  <c r="AX27" i="244"/>
  <c r="AY27" i="244"/>
  <c r="AS27" i="244" s="1" a="1"/>
  <c r="AS27" i="244" s="1"/>
  <c r="B28" i="244"/>
  <c r="AY28" i="244"/>
  <c r="AS28" i="244" s="1" a="1"/>
  <c r="AS28" i="244" s="1"/>
  <c r="L18" i="237"/>
  <c r="BF18" i="237" s="1"/>
  <c r="BO28" i="237"/>
  <c r="N23" i="244" s="1"/>
  <c r="C74" i="244"/>
  <c r="B74" i="244" s="1"/>
  <c r="AX71" i="244"/>
  <c r="B71" i="244"/>
  <c r="BI22" i="240"/>
  <c r="BN22" i="240" s="1"/>
  <c r="C73" i="244"/>
  <c r="BO26" i="237"/>
  <c r="N22" i="244" s="1"/>
  <c r="R30" i="237"/>
  <c r="BK30" i="237" s="1"/>
  <c r="AR30" i="237" s="1"/>
  <c r="R28" i="237"/>
  <c r="BK28" i="237" s="1"/>
  <c r="R24" i="237"/>
  <c r="BG24" i="237" s="1"/>
  <c r="R26" i="237"/>
  <c r="BG26" i="237" s="1"/>
  <c r="AX79" i="244"/>
  <c r="R22" i="237"/>
  <c r="BG22" i="237" s="1"/>
  <c r="AZ9" i="235"/>
  <c r="AZ9" i="233"/>
  <c r="AZ9" i="240"/>
  <c r="AZ9" i="231"/>
  <c r="AZ9" i="236"/>
  <c r="AZ9" i="226"/>
  <c r="AZ9" i="229"/>
  <c r="AZ9" i="230"/>
  <c r="AZ9" i="232"/>
  <c r="AZ9" i="237"/>
  <c r="AZ9" i="242"/>
  <c r="AZ9" i="234"/>
  <c r="AX62" i="244"/>
  <c r="AX78" i="244"/>
  <c r="B27" i="244"/>
  <c r="B55" i="244"/>
  <c r="AX55" i="244"/>
  <c r="B60" i="244"/>
  <c r="AX60" i="244"/>
  <c r="B59" i="244"/>
  <c r="AX59" i="244"/>
  <c r="AX28" i="244"/>
  <c r="B56" i="244"/>
  <c r="AX56" i="244"/>
  <c r="B61" i="244"/>
  <c r="AX61" i="244"/>
  <c r="B75" i="244"/>
  <c r="AX75" i="244"/>
  <c r="B63" i="244"/>
  <c r="AX63" i="244"/>
  <c r="AX46" i="244"/>
  <c r="B57" i="244"/>
  <c r="AX57" i="244"/>
  <c r="AX45" i="244"/>
  <c r="B31" i="244"/>
  <c r="AX44" i="244"/>
  <c r="AX32" i="244"/>
  <c r="AX47" i="244"/>
  <c r="AX29" i="244"/>
  <c r="B25" i="244"/>
  <c r="R18" i="237"/>
  <c r="R20" i="237"/>
  <c r="BG20" i="237" s="1"/>
  <c r="V24" i="244" l="1"/>
  <c r="BI30" i="237"/>
  <c r="BR30" i="237" s="1"/>
  <c r="C30" i="244"/>
  <c r="C37" i="244"/>
  <c r="C26" i="244"/>
  <c r="S18" i="244"/>
  <c r="BB18" i="237"/>
  <c r="BA18" i="237"/>
  <c r="BK26" i="237"/>
  <c r="U22" i="244"/>
  <c r="BK24" i="237"/>
  <c r="U21" i="244"/>
  <c r="BK20" i="237"/>
  <c r="U19" i="244"/>
  <c r="BK18" i="237"/>
  <c r="U20" i="244"/>
  <c r="BK22" i="237"/>
  <c r="BH18" i="237"/>
  <c r="AS33" i="244" a="1"/>
  <c r="AS33" i="244" s="1"/>
  <c r="AR33" i="244" a="1"/>
  <c r="AR33" i="244" s="1"/>
  <c r="AS36" i="244" a="1"/>
  <c r="AS36" i="244" s="1"/>
  <c r="AR36" i="244" a="1"/>
  <c r="AR36" i="244" s="1"/>
  <c r="AS35" i="244" a="1"/>
  <c r="AS35" i="244" s="1"/>
  <c r="AR35" i="244" a="1"/>
  <c r="AR35" i="244" s="1"/>
  <c r="AS34" i="244" a="1"/>
  <c r="AS34" i="244" s="1"/>
  <c r="AR34" i="244" a="1"/>
  <c r="AR34" i="244" s="1"/>
  <c r="AR31" i="244" a="1"/>
  <c r="AR31" i="244" s="1"/>
  <c r="AR29" i="244" a="1"/>
  <c r="AR29" i="244" s="1"/>
  <c r="AR28" i="244" a="1"/>
  <c r="AR28" i="244" s="1"/>
  <c r="AR25" i="244" a="1"/>
  <c r="AR25" i="244" s="1"/>
  <c r="AR27" i="244" a="1"/>
  <c r="AR27" i="244" s="1"/>
  <c r="AR32" i="244" a="1"/>
  <c r="AR32" i="244" s="1"/>
  <c r="U23" i="244"/>
  <c r="U24" i="244"/>
  <c r="AX74" i="244"/>
  <c r="S23" i="244"/>
  <c r="BJ28" i="237"/>
  <c r="AO24" i="237"/>
  <c r="AY24" i="237" s="1"/>
  <c r="AJ21" i="244" s="1"/>
  <c r="AO22" i="237"/>
  <c r="AY22" i="237" s="1"/>
  <c r="AJ20" i="244" s="1"/>
  <c r="S24" i="244"/>
  <c r="BJ30" i="237"/>
  <c r="AO20" i="237"/>
  <c r="AY20" i="237" s="1"/>
  <c r="AJ19" i="244" s="1"/>
  <c r="C72" i="244"/>
  <c r="AX73" i="244"/>
  <c r="B73" i="244"/>
  <c r="AO28" i="237"/>
  <c r="R18" i="244"/>
  <c r="BA200" i="237"/>
  <c r="B186" i="221"/>
  <c r="B107" i="221"/>
  <c r="B158" i="221"/>
  <c r="C89" i="221"/>
  <c r="C86" i="221"/>
  <c r="B124" i="221"/>
  <c r="C167" i="221"/>
  <c r="C159" i="221"/>
  <c r="B167" i="221"/>
  <c r="B139" i="221"/>
  <c r="B91" i="221"/>
  <c r="C127" i="221"/>
  <c r="C113" i="221"/>
  <c r="B126" i="221"/>
  <c r="C179" i="221"/>
  <c r="B187" i="221"/>
  <c r="C181" i="221"/>
  <c r="B109" i="221"/>
  <c r="B90" i="221"/>
  <c r="B169" i="221"/>
  <c r="B93" i="221"/>
  <c r="C162" i="221"/>
  <c r="B101" i="221"/>
  <c r="C102" i="221"/>
  <c r="B190" i="221"/>
  <c r="C178" i="221"/>
  <c r="B111" i="221"/>
  <c r="B123" i="221"/>
  <c r="C88" i="221"/>
  <c r="C169" i="221"/>
  <c r="B181" i="221"/>
  <c r="C96" i="221"/>
  <c r="C125" i="221"/>
  <c r="B113" i="221"/>
  <c r="B121" i="221"/>
  <c r="B138" i="221"/>
  <c r="C158" i="221"/>
  <c r="C142" i="221"/>
  <c r="B176" i="221"/>
  <c r="C131" i="221"/>
  <c r="C118" i="221"/>
  <c r="B89" i="221"/>
  <c r="B165" i="221"/>
  <c r="B85" i="221"/>
  <c r="C117" i="221"/>
  <c r="C140" i="221"/>
  <c r="B84" i="221"/>
  <c r="B99" i="221"/>
  <c r="C157" i="221"/>
  <c r="C132" i="221"/>
  <c r="B157" i="221"/>
  <c r="B125" i="221"/>
  <c r="C165" i="221"/>
  <c r="C174" i="221"/>
  <c r="C175" i="221"/>
  <c r="B122" i="221"/>
  <c r="B180" i="221"/>
  <c r="C105" i="221"/>
  <c r="B115" i="221"/>
  <c r="C116" i="221"/>
  <c r="B118" i="221"/>
  <c r="B108" i="221"/>
  <c r="B106" i="221"/>
  <c r="B170" i="221"/>
  <c r="B103" i="221"/>
  <c r="B137" i="221"/>
  <c r="C176" i="221"/>
  <c r="B94" i="221"/>
  <c r="C120" i="221"/>
  <c r="B131" i="221"/>
  <c r="C163" i="221"/>
  <c r="C107" i="221"/>
  <c r="C94" i="221"/>
  <c r="C119" i="221"/>
  <c r="B105" i="221"/>
  <c r="B185" i="221"/>
  <c r="B129" i="221"/>
  <c r="C170" i="221"/>
  <c r="C160" i="221"/>
  <c r="C133" i="221"/>
  <c r="B117" i="221"/>
  <c r="B86" i="221"/>
  <c r="B128" i="221"/>
  <c r="C173" i="221"/>
  <c r="C128" i="221"/>
  <c r="B119" i="221"/>
  <c r="C114" i="221"/>
  <c r="C171" i="221"/>
  <c r="C121" i="221"/>
  <c r="B171" i="221"/>
  <c r="B164" i="221"/>
  <c r="C166" i="221"/>
  <c r="B116" i="221"/>
  <c r="B163" i="221"/>
  <c r="B112" i="221"/>
  <c r="C137" i="221"/>
  <c r="C126" i="221"/>
  <c r="C139" i="221"/>
  <c r="C156" i="221"/>
  <c r="C130" i="221"/>
  <c r="B177" i="221"/>
  <c r="B132" i="221"/>
  <c r="B120" i="221"/>
  <c r="C115" i="221"/>
  <c r="C92" i="221"/>
  <c r="B161" i="221"/>
  <c r="C91" i="221"/>
  <c r="C87" i="221"/>
  <c r="C101" i="221"/>
  <c r="B110" i="221"/>
  <c r="C85" i="221"/>
  <c r="B142" i="221"/>
  <c r="C168" i="221"/>
  <c r="C161" i="221"/>
  <c r="B95" i="221"/>
  <c r="C111" i="221"/>
  <c r="B162" i="221"/>
  <c r="B100" i="221"/>
  <c r="B188" i="221"/>
  <c r="B247" i="221"/>
  <c r="C99" i="221"/>
  <c r="B97" i="221"/>
  <c r="C95" i="221"/>
  <c r="B159" i="221"/>
  <c r="B92" i="221"/>
  <c r="B104" i="221"/>
  <c r="C136" i="221"/>
  <c r="B160" i="221"/>
  <c r="B140" i="221"/>
  <c r="B166" i="221"/>
  <c r="C109" i="221"/>
  <c r="B134" i="221"/>
  <c r="C103" i="221"/>
  <c r="B189" i="221"/>
  <c r="B127" i="221"/>
  <c r="B114" i="221"/>
  <c r="B98" i="221"/>
  <c r="B141" i="221"/>
  <c r="C138" i="221"/>
  <c r="B96" i="221"/>
  <c r="C84" i="221"/>
  <c r="C108" i="221"/>
  <c r="B102" i="221"/>
  <c r="C122" i="221"/>
  <c r="B156" i="221"/>
  <c r="C129" i="221"/>
  <c r="C124" i="221"/>
  <c r="C93" i="221"/>
  <c r="C106" i="221"/>
  <c r="B175" i="221"/>
  <c r="C110" i="221"/>
  <c r="B172" i="221"/>
  <c r="C90" i="221"/>
  <c r="B83" i="221"/>
  <c r="C177" i="221"/>
  <c r="C104" i="221"/>
  <c r="B174" i="221"/>
  <c r="C141" i="221"/>
  <c r="B248" i="221"/>
  <c r="C97" i="221"/>
  <c r="C98" i="221"/>
  <c r="B135" i="221"/>
  <c r="C180" i="221"/>
  <c r="C164" i="221"/>
  <c r="B168" i="221"/>
  <c r="C135" i="221"/>
  <c r="B88" i="221"/>
  <c r="C123" i="221"/>
  <c r="C112" i="221"/>
  <c r="B179" i="221"/>
  <c r="B136" i="221"/>
  <c r="C100" i="221"/>
  <c r="B133" i="221"/>
  <c r="B130" i="221"/>
  <c r="B173" i="221"/>
  <c r="B87" i="221"/>
  <c r="C134" i="221"/>
  <c r="B178" i="221"/>
  <c r="C24" i="244" l="1"/>
  <c r="AX24" i="244" s="1"/>
  <c r="AR24" i="237"/>
  <c r="V21" i="244" s="1"/>
  <c r="AO18" i="237"/>
  <c r="AY18" i="237" s="1"/>
  <c r="AR18" i="237" s="1"/>
  <c r="AR22" i="237"/>
  <c r="BI22" i="237" s="1"/>
  <c r="BR22" i="237" s="1"/>
  <c r="B26" i="244"/>
  <c r="AX26" i="244"/>
  <c r="AY26" i="244"/>
  <c r="B37" i="244"/>
  <c r="AY37" i="244"/>
  <c r="AX37" i="244"/>
  <c r="B30" i="244"/>
  <c r="AY30" i="244"/>
  <c r="AX30" i="244"/>
  <c r="AR20" i="237"/>
  <c r="BI20" i="237" s="1"/>
  <c r="BR20" i="237" s="1"/>
  <c r="U18" i="244"/>
  <c r="O13" i="221"/>
  <c r="L19" i="244"/>
  <c r="T19" i="244"/>
  <c r="L20" i="244"/>
  <c r="T20" i="244"/>
  <c r="L21" i="244"/>
  <c r="T21" i="244"/>
  <c r="S21" i="244"/>
  <c r="S20" i="244"/>
  <c r="S19" i="244"/>
  <c r="D249" i="221"/>
  <c r="B72" i="244"/>
  <c r="AX72" i="244"/>
  <c r="D186" i="221"/>
  <c r="D187" i="221"/>
  <c r="D190" i="221"/>
  <c r="D189" i="221"/>
  <c r="D188" i="221"/>
  <c r="D185" i="221"/>
  <c r="D247" i="221"/>
  <c r="D248" i="221"/>
  <c r="D180" i="221"/>
  <c r="D156" i="221"/>
  <c r="D181" i="221"/>
  <c r="D177" i="221"/>
  <c r="D175" i="221"/>
  <c r="D179" i="221"/>
  <c r="D168" i="221"/>
  <c r="D158" i="221"/>
  <c r="D160" i="221"/>
  <c r="D163" i="221"/>
  <c r="D174" i="221"/>
  <c r="D170" i="221"/>
  <c r="D176" i="221"/>
  <c r="D172" i="221"/>
  <c r="D161" i="221"/>
  <c r="D171" i="221"/>
  <c r="D178" i="221"/>
  <c r="D169" i="221"/>
  <c r="D164" i="221"/>
  <c r="D165" i="221"/>
  <c r="D167" i="221"/>
  <c r="D166" i="221"/>
  <c r="D159" i="221"/>
  <c r="D173" i="221"/>
  <c r="D162" i="221"/>
  <c r="D157" i="221"/>
  <c r="D141" i="221"/>
  <c r="D84" i="221"/>
  <c r="D101" i="221"/>
  <c r="D95" i="221"/>
  <c r="D142" i="221"/>
  <c r="D120" i="221"/>
  <c r="D103" i="221"/>
  <c r="D138" i="221"/>
  <c r="D99" i="221"/>
  <c r="D85" i="221"/>
  <c r="D87" i="221"/>
  <c r="D91" i="221"/>
  <c r="D110" i="221"/>
  <c r="D127" i="221"/>
  <c r="D116" i="221"/>
  <c r="D93" i="221"/>
  <c r="D108" i="221"/>
  <c r="D133" i="221"/>
  <c r="D111" i="221"/>
  <c r="D102" i="221"/>
  <c r="D129" i="221"/>
  <c r="D128" i="221"/>
  <c r="D137" i="221"/>
  <c r="D119" i="221"/>
  <c r="D123" i="221"/>
  <c r="D131" i="221"/>
  <c r="D140" i="221"/>
  <c r="D104" i="221"/>
  <c r="D88" i="221"/>
  <c r="D92" i="221"/>
  <c r="D130" i="221"/>
  <c r="D86" i="221"/>
  <c r="D89" i="221"/>
  <c r="D125" i="221"/>
  <c r="D100" i="221"/>
  <c r="D90" i="221"/>
  <c r="D105" i="221"/>
  <c r="D121" i="221"/>
  <c r="D135" i="221"/>
  <c r="D134" i="221"/>
  <c r="D96" i="221"/>
  <c r="D132" i="221"/>
  <c r="D118" i="221"/>
  <c r="D109" i="221"/>
  <c r="D126" i="221"/>
  <c r="D98" i="221"/>
  <c r="D124" i="221"/>
  <c r="D115" i="221"/>
  <c r="D122" i="221"/>
  <c r="D136" i="221"/>
  <c r="D106" i="221"/>
  <c r="D112" i="221"/>
  <c r="D113" i="221"/>
  <c r="D94" i="221"/>
  <c r="D117" i="221"/>
  <c r="D107" i="221"/>
  <c r="D114" i="221"/>
  <c r="D139" i="221"/>
  <c r="D97" i="221"/>
  <c r="D83" i="221"/>
  <c r="AY28" i="237"/>
  <c r="AJ23" i="244" s="1"/>
  <c r="S22" i="244"/>
  <c r="AO26" i="237"/>
  <c r="AH28" i="218" s="1"/>
  <c r="J13" i="221"/>
  <c r="BI24" i="237" l="1"/>
  <c r="BR24" i="237" s="1"/>
  <c r="B24" i="244"/>
  <c r="BJ24" i="237"/>
  <c r="AY24" i="244"/>
  <c r="AS30" i="244" a="1"/>
  <c r="AS30" i="244" s="1"/>
  <c r="AR30" i="244" a="1"/>
  <c r="AR30" i="244" s="1"/>
  <c r="AS37" i="244" a="1"/>
  <c r="AS37" i="244" s="1"/>
  <c r="AR37" i="244" a="1"/>
  <c r="AR37" i="244" s="1"/>
  <c r="AS26" i="244" a="1"/>
  <c r="AS26" i="244" s="1"/>
  <c r="AR26" i="244" a="1"/>
  <c r="AR26" i="244" s="1"/>
  <c r="V20" i="244"/>
  <c r="C20" i="244" s="1"/>
  <c r="AY20" i="244" s="1"/>
  <c r="BJ22" i="237"/>
  <c r="V19" i="244"/>
  <c r="C19" i="244" s="1"/>
  <c r="AY19" i="244" s="1"/>
  <c r="BJ20" i="237"/>
  <c r="V18" i="244"/>
  <c r="BJ18" i="237"/>
  <c r="AJ18" i="244"/>
  <c r="Z12" i="237"/>
  <c r="H13" i="221"/>
  <c r="I13" i="221"/>
  <c r="N13" i="221"/>
  <c r="L23" i="244"/>
  <c r="T23" i="244"/>
  <c r="L18" i="244"/>
  <c r="T18" i="244"/>
  <c r="D184" i="221"/>
  <c r="BI28" i="237"/>
  <c r="BR28" i="237" s="1"/>
  <c r="AY26" i="237"/>
  <c r="AJ22" i="244" s="1"/>
  <c r="AJ28" i="218"/>
  <c r="AI28" i="218"/>
  <c r="C21" i="244" l="1"/>
  <c r="AY21" i="244" s="1"/>
  <c r="AS24" i="244" a="1"/>
  <c r="AS24" i="244" s="1"/>
  <c r="AR24" i="244" a="1"/>
  <c r="AR24" i="244" s="1"/>
  <c r="AR26" i="237"/>
  <c r="V12" i="237"/>
  <c r="AR20" i="244" a="1"/>
  <c r="AR20" i="244" s="1"/>
  <c r="AS20" i="244" a="1"/>
  <c r="AS20" i="244" s="1"/>
  <c r="AR21" i="244" a="1"/>
  <c r="AR21" i="244" s="1"/>
  <c r="AS21" i="244" a="1"/>
  <c r="AS21" i="244" s="1"/>
  <c r="AR19" i="244" a="1"/>
  <c r="AR19" i="244" s="1"/>
  <c r="AS19" i="244" a="1"/>
  <c r="AS19" i="244" s="1"/>
  <c r="L22" i="244"/>
  <c r="T22" i="244"/>
  <c r="BB200" i="237"/>
  <c r="AY200" i="237"/>
  <c r="K13" i="221"/>
  <c r="C23" i="244"/>
  <c r="AY23" i="244" s="1"/>
  <c r="B19" i="244"/>
  <c r="AX19" i="244"/>
  <c r="AX21" i="244"/>
  <c r="B21" i="244"/>
  <c r="B20" i="244"/>
  <c r="AX20" i="244"/>
  <c r="V22" i="244" l="1"/>
  <c r="BJ26" i="237"/>
  <c r="AI13" i="237" s="1"/>
  <c r="R12" i="237"/>
  <c r="M13" i="221"/>
  <c r="BI26" i="237"/>
  <c r="BR26" i="237" s="1"/>
  <c r="AR23" i="244" a="1"/>
  <c r="AR23" i="244" s="1"/>
  <c r="AS23" i="244" a="1"/>
  <c r="AS23" i="244" s="1"/>
  <c r="AX23" i="244"/>
  <c r="B23" i="244"/>
  <c r="BH200" i="230"/>
  <c r="A9" i="225"/>
  <c r="C22" i="244" l="1"/>
  <c r="AY22" i="244" s="1"/>
  <c r="AS22" i="244" s="1" a="1"/>
  <c r="AS22" i="244" s="1"/>
  <c r="BE200" i="230"/>
  <c r="BH200" i="234"/>
  <c r="BE200" i="231"/>
  <c r="BE200" i="229"/>
  <c r="BE200" i="234"/>
  <c r="BD200" i="234"/>
  <c r="BD200" i="230"/>
  <c r="BH200" i="231"/>
  <c r="BD200" i="231"/>
  <c r="BD200" i="232"/>
  <c r="AR22" i="244" l="1" a="1"/>
  <c r="AR22" i="244" s="1"/>
  <c r="AX22" i="244"/>
  <c r="B22" i="244"/>
  <c r="BD200" i="233"/>
  <c r="BE200" i="233"/>
  <c r="BE200" i="232"/>
  <c r="N26" i="215"/>
  <c r="O89" i="215" a="1"/>
  <c r="O89" i="215" s="1"/>
  <c r="O90" i="215" s="1"/>
  <c r="Q91" i="215" s="1"/>
  <c r="BH200" i="233"/>
  <c r="BD200" i="229"/>
  <c r="BH200" i="229"/>
  <c r="BJ18" i="229"/>
  <c r="BP18" i="229" s="1"/>
  <c r="AI13" i="229" s="1"/>
  <c r="BH200" i="232"/>
  <c r="I28" i="226" l="1"/>
  <c r="I26" i="226"/>
  <c r="I24" i="226"/>
  <c r="I22" i="226"/>
  <c r="I20" i="226"/>
  <c r="I18" i="226"/>
  <c r="AQ87" i="225"/>
  <c r="AB87" i="225"/>
  <c r="M87" i="225"/>
  <c r="AQ86" i="225"/>
  <c r="AB86" i="225"/>
  <c r="M86" i="225"/>
  <c r="AQ85" i="225"/>
  <c r="AB85" i="225"/>
  <c r="M85" i="225"/>
  <c r="AQ84" i="225"/>
  <c r="AB84" i="225"/>
  <c r="M84" i="225"/>
  <c r="AQ83" i="225"/>
  <c r="AB83" i="225"/>
  <c r="M83" i="225"/>
  <c r="AQ82" i="225"/>
  <c r="AB82" i="225"/>
  <c r="M82" i="225"/>
  <c r="AQ81" i="225"/>
  <c r="AB81" i="225"/>
  <c r="M81" i="225"/>
  <c r="AQ80" i="225"/>
  <c r="AB80" i="225"/>
  <c r="M80" i="225"/>
  <c r="AQ79" i="225"/>
  <c r="AB79" i="225"/>
  <c r="M79" i="225"/>
  <c r="AQ78" i="225"/>
  <c r="AB78" i="225"/>
  <c r="M78" i="225"/>
  <c r="AQ77" i="225"/>
  <c r="AB77" i="225"/>
  <c r="M77" i="225"/>
  <c r="AQ76" i="225"/>
  <c r="AB76" i="225"/>
  <c r="M76" i="225"/>
  <c r="AQ75" i="225"/>
  <c r="AB75" i="225"/>
  <c r="M75" i="225"/>
  <c r="AQ74" i="225"/>
  <c r="AB74" i="225"/>
  <c r="M74" i="225"/>
  <c r="AQ73" i="225"/>
  <c r="AB73" i="225"/>
  <c r="M73" i="225"/>
  <c r="AQ72" i="225"/>
  <c r="AB72" i="225"/>
  <c r="M72" i="225"/>
  <c r="AQ71" i="225"/>
  <c r="AB71" i="225"/>
  <c r="M71" i="225"/>
  <c r="AQ70" i="225"/>
  <c r="AB70" i="225"/>
  <c r="M70" i="225"/>
  <c r="AQ69" i="225"/>
  <c r="AB69" i="225"/>
  <c r="M69" i="225"/>
  <c r="AQ68" i="225"/>
  <c r="AB68" i="225"/>
  <c r="M68" i="225"/>
  <c r="AQ67" i="225"/>
  <c r="AB67" i="225"/>
  <c r="M67" i="225"/>
  <c r="AQ66" i="225"/>
  <c r="AB66" i="225"/>
  <c r="M66" i="225"/>
  <c r="AQ65" i="225"/>
  <c r="AB65" i="225"/>
  <c r="M65" i="225"/>
  <c r="AQ64" i="225"/>
  <c r="AB64" i="225"/>
  <c r="M64" i="225"/>
  <c r="AQ63" i="225"/>
  <c r="AB63" i="225"/>
  <c r="M63" i="225"/>
  <c r="AQ62" i="225"/>
  <c r="AB62" i="225"/>
  <c r="M62" i="225"/>
  <c r="AQ61" i="225"/>
  <c r="AB61" i="225"/>
  <c r="M61" i="225"/>
  <c r="AQ60" i="225"/>
  <c r="AB60" i="225"/>
  <c r="M60" i="225"/>
  <c r="AQ59" i="225"/>
  <c r="AB59" i="225"/>
  <c r="M59" i="225"/>
  <c r="AQ58" i="225"/>
  <c r="AB58" i="225"/>
  <c r="M58" i="225"/>
  <c r="AQ20" i="225"/>
  <c r="AQ50" i="225" s="1"/>
  <c r="AB20" i="225"/>
  <c r="AB50" i="225" s="1"/>
  <c r="M20" i="225"/>
  <c r="M50" i="225" s="1"/>
  <c r="A9" i="216"/>
  <c r="M88" i="225" l="1"/>
  <c r="AB88" i="225"/>
  <c r="AQ88" i="225"/>
  <c r="T22" i="226"/>
  <c r="Y22" i="226"/>
  <c r="Y24" i="226"/>
  <c r="T24" i="226"/>
  <c r="T18" i="226"/>
  <c r="V18" i="226" s="1"/>
  <c r="AL6" i="244" s="1"/>
  <c r="T26" i="226"/>
  <c r="Y26" i="226"/>
  <c r="Y28" i="226"/>
  <c r="T28" i="226"/>
  <c r="T20" i="226"/>
  <c r="Y20" i="226"/>
  <c r="BA22" i="226"/>
  <c r="AV8" i="244" s="1"/>
  <c r="BE22" i="226"/>
  <c r="G8" i="244" s="1"/>
  <c r="BD22" i="226"/>
  <c r="AW8" i="244" s="1"/>
  <c r="BD24" i="226"/>
  <c r="AW9" i="244" s="1"/>
  <c r="BE24" i="226"/>
  <c r="G9" i="244" s="1"/>
  <c r="BA24" i="226"/>
  <c r="AV9" i="244" s="1"/>
  <c r="BE26" i="226"/>
  <c r="G10" i="244" s="1"/>
  <c r="BA26" i="226"/>
  <c r="AV10" i="244" s="1"/>
  <c r="BD26" i="226"/>
  <c r="AW10" i="244" s="1"/>
  <c r="BE20" i="226"/>
  <c r="G7" i="244" s="1"/>
  <c r="BA20" i="226"/>
  <c r="AV7" i="244" s="1"/>
  <c r="BD20" i="226"/>
  <c r="AW7" i="244" s="1"/>
  <c r="BA28" i="226"/>
  <c r="AV11" i="244" s="1"/>
  <c r="BD28" i="226"/>
  <c r="AW11" i="244" s="1"/>
  <c r="BE28" i="226"/>
  <c r="G11" i="244" s="1"/>
  <c r="I8" i="244"/>
  <c r="I9" i="244"/>
  <c r="I6" i="244"/>
  <c r="I10" i="244"/>
  <c r="I7" i="244"/>
  <c r="I11" i="244"/>
  <c r="C26" i="226"/>
  <c r="BD18" i="226"/>
  <c r="AW6" i="244" s="1"/>
  <c r="BE18" i="226"/>
  <c r="G6" i="244" s="1"/>
  <c r="C22" i="226"/>
  <c r="AA22" i="226" s="1"/>
  <c r="C18" i="226"/>
  <c r="AS6" i="244" s="1"/>
  <c r="BA18" i="226"/>
  <c r="AV6" i="244" s="1"/>
  <c r="C20" i="226"/>
  <c r="AA20" i="226" s="1"/>
  <c r="C24" i="226"/>
  <c r="AS9" i="244" s="1"/>
  <c r="C28" i="226"/>
  <c r="V20" i="226" l="1"/>
  <c r="AN20" i="226" s="1"/>
  <c r="BN20" i="226" s="1"/>
  <c r="V26" i="226"/>
  <c r="V28" i="226"/>
  <c r="V24" i="226"/>
  <c r="V22" i="226"/>
  <c r="AK22" i="226" s="1"/>
  <c r="AA28" i="226"/>
  <c r="AA26" i="226"/>
  <c r="AA18" i="226"/>
  <c r="AA24" i="226"/>
  <c r="BJ26" i="226"/>
  <c r="BK26" i="226" s="1"/>
  <c r="BJ22" i="226"/>
  <c r="BK22" i="226" s="1"/>
  <c r="BJ24" i="226"/>
  <c r="BK24" i="226" s="1"/>
  <c r="BJ28" i="226"/>
  <c r="BK28" i="226" s="1"/>
  <c r="BJ20" i="226"/>
  <c r="BK20" i="226" s="1"/>
  <c r="AS10" i="244"/>
  <c r="AM8" i="244"/>
  <c r="AS8" i="244"/>
  <c r="AM7" i="244"/>
  <c r="AS7" i="244"/>
  <c r="AS11" i="244"/>
  <c r="AY26" i="226" l="1"/>
  <c r="AT10" i="244" s="1"/>
  <c r="AY24" i="226"/>
  <c r="AT9" i="244" s="1"/>
  <c r="AY28" i="226"/>
  <c r="AT11" i="244" s="1"/>
  <c r="AY22" i="226"/>
  <c r="AT8" i="244" s="1"/>
  <c r="AY20" i="226"/>
  <c r="Y18" i="226"/>
  <c r="AN28" i="226"/>
  <c r="BN28" i="226" s="1"/>
  <c r="AK28" i="226"/>
  <c r="AN26" i="226"/>
  <c r="BN26" i="226" s="1"/>
  <c r="AN24" i="226"/>
  <c r="BN24" i="226" s="1"/>
  <c r="AN22" i="226"/>
  <c r="BN22" i="226" s="1"/>
  <c r="AK24" i="226"/>
  <c r="AK26" i="226"/>
  <c r="AM10" i="244"/>
  <c r="AM9" i="244"/>
  <c r="AM6" i="244"/>
  <c r="AM11" i="244"/>
  <c r="AH28" i="226"/>
  <c r="BB28" i="226"/>
  <c r="BF28" i="226"/>
  <c r="BM28" i="226"/>
  <c r="C11" i="244" s="1"/>
  <c r="B11" i="244" s="1"/>
  <c r="BC28" i="226"/>
  <c r="AK11" i="244" s="1"/>
  <c r="BH28" i="226"/>
  <c r="BP28" i="226"/>
  <c r="AH22" i="226"/>
  <c r="BB22" i="226"/>
  <c r="BF22" i="226"/>
  <c r="BM22" i="226"/>
  <c r="C8" i="244" s="1"/>
  <c r="B8" i="244" s="1"/>
  <c r="BC22" i="226"/>
  <c r="AK8" i="244" s="1"/>
  <c r="BH22" i="226"/>
  <c r="BP22" i="226"/>
  <c r="BB26" i="226"/>
  <c r="BF26" i="226"/>
  <c r="BM26" i="226"/>
  <c r="C10" i="244" s="1"/>
  <c r="B10" i="244" s="1"/>
  <c r="BC26" i="226"/>
  <c r="AK10" i="244" s="1"/>
  <c r="BH26" i="226"/>
  <c r="BP26" i="226"/>
  <c r="AH26" i="226"/>
  <c r="AL9" i="244"/>
  <c r="AH24" i="226"/>
  <c r="BB24" i="226"/>
  <c r="BF24" i="226"/>
  <c r="BM24" i="226"/>
  <c r="C9" i="244" s="1"/>
  <c r="B9" i="244" s="1"/>
  <c r="BH24" i="226"/>
  <c r="BP24" i="226"/>
  <c r="BC24" i="226"/>
  <c r="AK9" i="244" s="1"/>
  <c r="AH20" i="226"/>
  <c r="BB20" i="226"/>
  <c r="BM20" i="226"/>
  <c r="C7" i="244" s="1"/>
  <c r="B7" i="244" s="1"/>
  <c r="BH20" i="226"/>
  <c r="BC20" i="226"/>
  <c r="AK7" i="244" s="1"/>
  <c r="AL10" i="244"/>
  <c r="AL11" i="244"/>
  <c r="AL8" i="244"/>
  <c r="AL7" i="244"/>
  <c r="BH18" i="226"/>
  <c r="J1" i="211"/>
  <c r="F1" i="211"/>
  <c r="BO20" i="226" l="1"/>
  <c r="BO22" i="226"/>
  <c r="BO26" i="226"/>
  <c r="BO24" i="226"/>
  <c r="BO28" i="226"/>
  <c r="AJ11" i="244"/>
  <c r="AJ10" i="244"/>
  <c r="AJ9" i="244"/>
  <c r="AJ8" i="244"/>
  <c r="AJ7" i="244"/>
  <c r="AK20" i="226"/>
  <c r="BI20" i="226" s="1"/>
  <c r="AZ28" i="226"/>
  <c r="AU11" i="244" s="1"/>
  <c r="BI28" i="226"/>
  <c r="AZ24" i="226"/>
  <c r="AU9" i="244" s="1"/>
  <c r="BI24" i="226"/>
  <c r="AZ22" i="226"/>
  <c r="AU8" i="244" s="1"/>
  <c r="BI22" i="226"/>
  <c r="AZ26" i="226"/>
  <c r="AU10" i="244" s="1"/>
  <c r="BI26" i="226"/>
  <c r="BC18" i="226"/>
  <c r="BB18" i="226"/>
  <c r="BJ18" i="226"/>
  <c r="A9" i="215"/>
  <c r="A9" i="214"/>
  <c r="A9" i="212"/>
  <c r="A9" i="213"/>
  <c r="AZ20" i="226" l="1"/>
  <c r="AU7" i="244" s="1"/>
  <c r="AJ6" i="244"/>
  <c r="AK18" i="226"/>
  <c r="BF20" i="226"/>
  <c r="BP20" i="226" s="1"/>
  <c r="AT7" i="244" s="1"/>
  <c r="BK18" i="226"/>
  <c r="AH18" i="226" s="1"/>
  <c r="P10" i="221" s="1"/>
  <c r="BC200" i="226"/>
  <c r="AK6" i="244"/>
  <c r="BB200" i="226"/>
  <c r="AZ22" i="109"/>
  <c r="AY22" i="109"/>
  <c r="AX22" i="109"/>
  <c r="AW22" i="109"/>
  <c r="AV22" i="109"/>
  <c r="AZ21" i="109"/>
  <c r="AY21" i="109"/>
  <c r="AX21" i="109"/>
  <c r="AW21" i="109"/>
  <c r="AV21" i="109"/>
  <c r="BC20" i="109"/>
  <c r="BB20" i="109"/>
  <c r="BA20" i="109"/>
  <c r="AZ20" i="109"/>
  <c r="AY20" i="109"/>
  <c r="AX20" i="109"/>
  <c r="AW20" i="109"/>
  <c r="AV20" i="109"/>
  <c r="BF18" i="226" l="1"/>
  <c r="O10" i="221" s="1"/>
  <c r="N10" i="221"/>
  <c r="BO18" i="226"/>
  <c r="L10" i="221"/>
  <c r="AZ18" i="226"/>
  <c r="AU6" i="244" s="1"/>
  <c r="H10" i="221"/>
  <c r="I10" i="221"/>
  <c r="BI18" i="226"/>
  <c r="BF200" i="226" l="1"/>
  <c r="J10" i="221"/>
  <c r="F1" i="210" l="1"/>
  <c r="J1" i="210"/>
  <c r="B234" i="221"/>
  <c r="B184" i="221"/>
  <c r="B145" i="221"/>
  <c r="B82" i="221"/>
  <c r="B76" i="221"/>
  <c r="G15" i="221"/>
  <c r="G14" i="221"/>
  <c r="G13" i="221"/>
  <c r="G9" i="221"/>
  <c r="BA57" i="220"/>
  <c r="O42" i="207"/>
  <c r="X41" i="207"/>
  <c r="O1" i="211" l="1"/>
  <c r="BD21" i="109" l="1"/>
  <c r="BC22" i="109"/>
  <c r="BC21" i="109"/>
  <c r="BA22" i="109"/>
  <c r="BA21" i="109"/>
  <c r="BD22" i="109"/>
  <c r="BB21" i="109"/>
  <c r="BB22" i="109"/>
  <c r="B77" i="221"/>
  <c r="B152" i="221"/>
  <c r="B151" i="221"/>
  <c r="B154" i="221"/>
  <c r="C186" i="221"/>
  <c r="B147" i="221"/>
  <c r="B238" i="221"/>
  <c r="C153" i="221"/>
  <c r="B244" i="221"/>
  <c r="B239" i="221"/>
  <c r="C148" i="221"/>
  <c r="C154" i="221"/>
  <c r="B243" i="221"/>
  <c r="C188" i="221"/>
  <c r="C247" i="221"/>
  <c r="B236" i="221"/>
  <c r="B146" i="221"/>
  <c r="B79" i="221"/>
  <c r="B245" i="221"/>
  <c r="C149" i="221"/>
  <c r="B241" i="221"/>
  <c r="C151" i="221"/>
  <c r="C185" i="221"/>
  <c r="C155" i="221"/>
  <c r="B149" i="221"/>
  <c r="C83" i="221"/>
  <c r="B242" i="221"/>
  <c r="C146" i="221"/>
  <c r="B155" i="221"/>
  <c r="B237" i="221"/>
  <c r="B240" i="221"/>
  <c r="C77" i="221"/>
  <c r="B235" i="221"/>
  <c r="C152" i="221"/>
  <c r="C150" i="221"/>
  <c r="C187" i="221"/>
  <c r="C235" i="221"/>
  <c r="C147" i="221"/>
  <c r="C189" i="221"/>
  <c r="B78" i="221"/>
  <c r="C79" i="221"/>
  <c r="B246" i="221"/>
  <c r="B150" i="221"/>
  <c r="C78" i="221"/>
  <c r="C246" i="221"/>
  <c r="C191" i="221"/>
  <c r="B148" i="221"/>
  <c r="C245" i="221"/>
  <c r="B153" i="221"/>
  <c r="D245" i="221" l="1"/>
  <c r="D246" i="221"/>
  <c r="D238" i="221"/>
  <c r="D236" i="221"/>
  <c r="D237" i="221"/>
  <c r="D242" i="221"/>
  <c r="D241" i="221"/>
  <c r="D239" i="221"/>
  <c r="D244" i="221"/>
  <c r="D243" i="221"/>
  <c r="D240" i="221"/>
  <c r="D235" i="221"/>
  <c r="D151" i="221"/>
  <c r="D154" i="221"/>
  <c r="D152" i="221"/>
  <c r="D147" i="221"/>
  <c r="D148" i="221"/>
  <c r="D155" i="221"/>
  <c r="D153" i="221"/>
  <c r="D149" i="221"/>
  <c r="D150" i="221"/>
  <c r="D146" i="221"/>
  <c r="D79" i="221"/>
  <c r="D78" i="221"/>
  <c r="D77" i="221"/>
  <c r="D82" i="221"/>
  <c r="C82" i="221"/>
  <c r="E82" i="221" l="1"/>
  <c r="D145" i="221"/>
  <c r="C145" i="221"/>
  <c r="C76" i="221"/>
  <c r="D76" i="221"/>
  <c r="E145" i="221" l="1"/>
  <c r="R18" i="209" s="1"/>
  <c r="E76" i="221"/>
  <c r="P14" i="218" s="1"/>
  <c r="W15" i="218" l="1"/>
  <c r="F15" i="218"/>
  <c r="R15" i="209"/>
  <c r="O15" i="218"/>
  <c r="P20" i="218"/>
  <c r="R17" i="209" l="1"/>
  <c r="P16" i="218"/>
  <c r="C248" i="221"/>
  <c r="AI7" i="244" l="1"/>
  <c r="AI8" i="244"/>
  <c r="AI10" i="244"/>
  <c r="AI11" i="244"/>
  <c r="AI9" i="244"/>
  <c r="BA18" i="235"/>
  <c r="BK26" i="236"/>
  <c r="N58" i="244" s="1"/>
  <c r="AI167" i="244"/>
  <c r="AI168" i="244"/>
  <c r="AI169" i="244"/>
  <c r="AI159" i="244"/>
  <c r="AI155" i="244"/>
  <c r="AI151" i="244"/>
  <c r="AI152" i="244"/>
  <c r="AI158" i="244"/>
  <c r="AI154" i="244"/>
  <c r="AI150" i="244"/>
  <c r="AI157" i="244"/>
  <c r="AI156" i="244"/>
  <c r="AI143" i="244"/>
  <c r="AI139" i="244"/>
  <c r="AI135" i="244"/>
  <c r="AI142" i="244"/>
  <c r="AI138" i="244"/>
  <c r="AI136" i="244"/>
  <c r="AI141" i="244"/>
  <c r="AI140" i="244"/>
  <c r="AI127" i="244"/>
  <c r="AI123" i="244"/>
  <c r="AI119" i="244"/>
  <c r="AI126" i="244"/>
  <c r="AI125" i="244"/>
  <c r="AI121" i="244"/>
  <c r="AI124" i="244"/>
  <c r="AI120" i="244"/>
  <c r="AI103" i="244"/>
  <c r="AI107" i="244"/>
  <c r="AI111" i="244"/>
  <c r="AI108" i="244"/>
  <c r="AI110" i="244"/>
  <c r="AI105" i="244"/>
  <c r="AI109" i="244"/>
  <c r="AI106" i="244"/>
  <c r="AI87" i="244"/>
  <c r="AI91" i="244"/>
  <c r="AI95" i="244"/>
  <c r="AI88" i="244"/>
  <c r="AI92" i="244"/>
  <c r="AI94" i="244"/>
  <c r="AI93" i="244"/>
  <c r="AI90" i="244"/>
  <c r="BK18" i="236"/>
  <c r="BK18" i="240"/>
  <c r="N70" i="244" l="1"/>
  <c r="L15" i="221"/>
  <c r="L14" i="221"/>
  <c r="N54" i="244"/>
  <c r="AR18" i="240"/>
  <c r="T169" i="244"/>
  <c r="AG169" i="244"/>
  <c r="T168" i="244"/>
  <c r="AG168" i="244"/>
  <c r="T167" i="244"/>
  <c r="AG167" i="244"/>
  <c r="T158" i="244"/>
  <c r="AG158" i="244"/>
  <c r="T151" i="244"/>
  <c r="AG151" i="244"/>
  <c r="T155" i="244"/>
  <c r="AG155" i="244"/>
  <c r="T159" i="244"/>
  <c r="AG159" i="244"/>
  <c r="T152" i="244"/>
  <c r="AG152" i="244"/>
  <c r="T156" i="244"/>
  <c r="AG156" i="244"/>
  <c r="T157" i="244"/>
  <c r="AG157" i="244"/>
  <c r="T154" i="244"/>
  <c r="AG154" i="244"/>
  <c r="T150" i="244"/>
  <c r="AG150" i="244"/>
  <c r="T140" i="244"/>
  <c r="AG140" i="244"/>
  <c r="T136" i="244"/>
  <c r="AG136" i="244"/>
  <c r="T138" i="244"/>
  <c r="AG138" i="244"/>
  <c r="T142" i="244"/>
  <c r="AG142" i="244"/>
  <c r="T141" i="244"/>
  <c r="AG141" i="244"/>
  <c r="T135" i="244"/>
  <c r="AG135" i="244"/>
  <c r="T143" i="244"/>
  <c r="AG143" i="244"/>
  <c r="T139" i="244"/>
  <c r="AG139" i="244"/>
  <c r="T121" i="244"/>
  <c r="AG121" i="244"/>
  <c r="T120" i="244"/>
  <c r="AG120" i="244"/>
  <c r="T125" i="244"/>
  <c r="AG125" i="244"/>
  <c r="T126" i="244"/>
  <c r="AG126" i="244"/>
  <c r="T119" i="244"/>
  <c r="AG119" i="244"/>
  <c r="T124" i="244"/>
  <c r="AG124" i="244"/>
  <c r="T123" i="244"/>
  <c r="AG123" i="244"/>
  <c r="T127" i="244"/>
  <c r="AG127" i="244"/>
  <c r="T111" i="244"/>
  <c r="AG111" i="244"/>
  <c r="T107" i="244"/>
  <c r="AG107" i="244"/>
  <c r="T103" i="244"/>
  <c r="AG103" i="244"/>
  <c r="T108" i="244"/>
  <c r="AG108" i="244"/>
  <c r="T106" i="244"/>
  <c r="AG106" i="244"/>
  <c r="T109" i="244"/>
  <c r="AG109" i="244"/>
  <c r="T105" i="244"/>
  <c r="AG105" i="244"/>
  <c r="T110" i="244"/>
  <c r="AG110" i="244"/>
  <c r="T92" i="244"/>
  <c r="AG92" i="244"/>
  <c r="T88" i="244"/>
  <c r="AG88" i="244"/>
  <c r="T95" i="244"/>
  <c r="AG95" i="244"/>
  <c r="T94" i="244"/>
  <c r="AG94" i="244"/>
  <c r="T87" i="244"/>
  <c r="AG87" i="244"/>
  <c r="T93" i="244"/>
  <c r="AG93" i="244"/>
  <c r="T91" i="244"/>
  <c r="AG91" i="244"/>
  <c r="T90" i="244"/>
  <c r="AG90" i="244"/>
  <c r="P167" i="244"/>
  <c r="Q167" i="244"/>
  <c r="P169" i="244"/>
  <c r="Q169" i="244"/>
  <c r="P168" i="244"/>
  <c r="Q168" i="244"/>
  <c r="AD169" i="244"/>
  <c r="AC169" i="244"/>
  <c r="AC168" i="244"/>
  <c r="AD168" i="244"/>
  <c r="AC167" i="244"/>
  <c r="AD167" i="244"/>
  <c r="AC152" i="244"/>
  <c r="AD152" i="244"/>
  <c r="AC151" i="244"/>
  <c r="AD151" i="244"/>
  <c r="AD155" i="244"/>
  <c r="AC155" i="244"/>
  <c r="AD159" i="244"/>
  <c r="AC159" i="244"/>
  <c r="AC156" i="244"/>
  <c r="AD156" i="244"/>
  <c r="AC157" i="244"/>
  <c r="AD157" i="244"/>
  <c r="AD154" i="244"/>
  <c r="AC154" i="244"/>
  <c r="AD158" i="244"/>
  <c r="AC158" i="244"/>
  <c r="AC150" i="244"/>
  <c r="AD150" i="244"/>
  <c r="P152" i="244"/>
  <c r="Q152" i="244"/>
  <c r="Q155" i="244"/>
  <c r="P155" i="244"/>
  <c r="P159" i="244"/>
  <c r="Q159" i="244"/>
  <c r="P156" i="244"/>
  <c r="Q156" i="244"/>
  <c r="P157" i="244"/>
  <c r="Q157" i="244"/>
  <c r="P151" i="244"/>
  <c r="Q151" i="244"/>
  <c r="P154" i="244"/>
  <c r="Q154" i="244"/>
  <c r="P158" i="244"/>
  <c r="Q158" i="244"/>
  <c r="P150" i="244"/>
  <c r="Q150" i="244"/>
  <c r="O150" i="244"/>
  <c r="P141" i="244"/>
  <c r="Q141" i="244"/>
  <c r="Q138" i="244"/>
  <c r="P138" i="244"/>
  <c r="Q142" i="244"/>
  <c r="P142" i="244"/>
  <c r="Q135" i="244"/>
  <c r="P135" i="244"/>
  <c r="P139" i="244"/>
  <c r="Q139" i="244"/>
  <c r="P136" i="244"/>
  <c r="Q136" i="244"/>
  <c r="Q143" i="244"/>
  <c r="P143" i="244"/>
  <c r="P140" i="244"/>
  <c r="Q140" i="244"/>
  <c r="AC141" i="244"/>
  <c r="AD141" i="244"/>
  <c r="AC142" i="244"/>
  <c r="AD142" i="244"/>
  <c r="AC135" i="244"/>
  <c r="AD135" i="244"/>
  <c r="AC139" i="244"/>
  <c r="AD139" i="244"/>
  <c r="AC143" i="244"/>
  <c r="AD143" i="244"/>
  <c r="AC136" i="244"/>
  <c r="AD136" i="244"/>
  <c r="AC138" i="244"/>
  <c r="AD138" i="244"/>
  <c r="AC140" i="244"/>
  <c r="AD140" i="244"/>
  <c r="AC124" i="244"/>
  <c r="AD124" i="244"/>
  <c r="AD121" i="244"/>
  <c r="AC121" i="244"/>
  <c r="AC125" i="244"/>
  <c r="AD125" i="244"/>
  <c r="AC120" i="244"/>
  <c r="AD120" i="244"/>
  <c r="AC126" i="244"/>
  <c r="AD126" i="244"/>
  <c r="AC119" i="244"/>
  <c r="AD119" i="244"/>
  <c r="AD123" i="244"/>
  <c r="AC123" i="244"/>
  <c r="AD127" i="244"/>
  <c r="AC127" i="244"/>
  <c r="P120" i="244"/>
  <c r="Q120" i="244"/>
  <c r="P124" i="244"/>
  <c r="Q124" i="244"/>
  <c r="Q121" i="244"/>
  <c r="P121" i="244"/>
  <c r="P125" i="244"/>
  <c r="Q125" i="244"/>
  <c r="P126" i="244"/>
  <c r="Q126" i="244"/>
  <c r="P119" i="244"/>
  <c r="Q119" i="244"/>
  <c r="P123" i="244"/>
  <c r="Q123" i="244"/>
  <c r="P127" i="244"/>
  <c r="Q127" i="244"/>
  <c r="P103" i="244"/>
  <c r="Q103" i="244"/>
  <c r="P106" i="244"/>
  <c r="Q106" i="244"/>
  <c r="P109" i="244"/>
  <c r="Q109" i="244"/>
  <c r="Q105" i="244"/>
  <c r="P105" i="244"/>
  <c r="P110" i="244"/>
  <c r="Q110" i="244"/>
  <c r="Q108" i="244"/>
  <c r="P108" i="244"/>
  <c r="Q111" i="244"/>
  <c r="P111" i="244"/>
  <c r="P107" i="244"/>
  <c r="Q107" i="244"/>
  <c r="AC103" i="244"/>
  <c r="AD103" i="244"/>
  <c r="AC106" i="244"/>
  <c r="AD106" i="244"/>
  <c r="AC109" i="244"/>
  <c r="AD109" i="244"/>
  <c r="AC105" i="244"/>
  <c r="AD105" i="244"/>
  <c r="AC110" i="244"/>
  <c r="AD110" i="244"/>
  <c r="AD108" i="244"/>
  <c r="AC108" i="244"/>
  <c r="AC111" i="244"/>
  <c r="AD111" i="244"/>
  <c r="AC107" i="244"/>
  <c r="AD107" i="244"/>
  <c r="AD95" i="244"/>
  <c r="AC95" i="244"/>
  <c r="AC91" i="244"/>
  <c r="AD91" i="244"/>
  <c r="AD88" i="244"/>
  <c r="AC88" i="244"/>
  <c r="AD87" i="244"/>
  <c r="AC87" i="244"/>
  <c r="AC92" i="244"/>
  <c r="AD92" i="244"/>
  <c r="AD90" i="244"/>
  <c r="AC90" i="244"/>
  <c r="AC93" i="244"/>
  <c r="AD93" i="244"/>
  <c r="AC94" i="244"/>
  <c r="AD94" i="244"/>
  <c r="O95" i="244"/>
  <c r="Q95" i="244"/>
  <c r="P95" i="244"/>
  <c r="O92" i="244"/>
  <c r="P92" i="244"/>
  <c r="Q92" i="244"/>
  <c r="O91" i="244"/>
  <c r="P91" i="244"/>
  <c r="Q91" i="244"/>
  <c r="O88" i="244"/>
  <c r="P88" i="244"/>
  <c r="Q88" i="244"/>
  <c r="O87" i="244"/>
  <c r="P87" i="244"/>
  <c r="Q87" i="244"/>
  <c r="O90" i="244"/>
  <c r="P90" i="244"/>
  <c r="Q90" i="244"/>
  <c r="O93" i="244"/>
  <c r="P93" i="244"/>
  <c r="Q93" i="244"/>
  <c r="O94" i="244"/>
  <c r="Q94" i="244"/>
  <c r="P94" i="244"/>
  <c r="L9" i="244"/>
  <c r="N9" i="244"/>
  <c r="L11" i="244"/>
  <c r="N11" i="244"/>
  <c r="L10" i="244"/>
  <c r="N10" i="244"/>
  <c r="L8" i="244"/>
  <c r="N8" i="244"/>
  <c r="L7" i="244"/>
  <c r="N7" i="244"/>
  <c r="L169" i="244"/>
  <c r="N169" i="244"/>
  <c r="O169" i="244"/>
  <c r="L168" i="244"/>
  <c r="N168" i="244"/>
  <c r="O168" i="244"/>
  <c r="L167" i="244"/>
  <c r="N167" i="244"/>
  <c r="O167" i="244"/>
  <c r="L158" i="244"/>
  <c r="N158" i="244"/>
  <c r="O158" i="244"/>
  <c r="L152" i="244"/>
  <c r="N152" i="244"/>
  <c r="O152" i="244"/>
  <c r="N151" i="244"/>
  <c r="L151" i="244"/>
  <c r="O151" i="244"/>
  <c r="L154" i="244"/>
  <c r="N154" i="244"/>
  <c r="O154" i="244"/>
  <c r="L155" i="244"/>
  <c r="N155" i="244"/>
  <c r="O155" i="244"/>
  <c r="N159" i="244"/>
  <c r="L159" i="244"/>
  <c r="O159" i="244"/>
  <c r="L156" i="244"/>
  <c r="N156" i="244"/>
  <c r="O156" i="244"/>
  <c r="N157" i="244"/>
  <c r="L157" i="244"/>
  <c r="O157" i="244"/>
  <c r="L150" i="244"/>
  <c r="N150" i="244"/>
  <c r="L140" i="244"/>
  <c r="N140" i="244"/>
  <c r="O140" i="244"/>
  <c r="L141" i="244"/>
  <c r="N141" i="244"/>
  <c r="O141" i="244"/>
  <c r="L136" i="244"/>
  <c r="N136" i="244"/>
  <c r="O136" i="244"/>
  <c r="N138" i="244"/>
  <c r="L138" i="244"/>
  <c r="O138" i="244"/>
  <c r="N142" i="244"/>
  <c r="L142" i="244"/>
  <c r="O142" i="244"/>
  <c r="L135" i="244"/>
  <c r="N135" i="244"/>
  <c r="O135" i="244"/>
  <c r="L139" i="244"/>
  <c r="N139" i="244"/>
  <c r="O139" i="244"/>
  <c r="L143" i="244"/>
  <c r="N143" i="244"/>
  <c r="O143" i="244"/>
  <c r="L123" i="244"/>
  <c r="O123" i="244"/>
  <c r="N123" i="244"/>
  <c r="L127" i="244"/>
  <c r="N127" i="244"/>
  <c r="O127" i="244"/>
  <c r="L120" i="244"/>
  <c r="N120" i="244"/>
  <c r="O120" i="244"/>
  <c r="L124" i="244"/>
  <c r="N124" i="244"/>
  <c r="O124" i="244"/>
  <c r="L121" i="244"/>
  <c r="N121" i="244"/>
  <c r="O121" i="244"/>
  <c r="L125" i="244"/>
  <c r="O125" i="244"/>
  <c r="N125" i="244"/>
  <c r="N126" i="244"/>
  <c r="L126" i="244"/>
  <c r="O126" i="244"/>
  <c r="L119" i="244"/>
  <c r="N119" i="244"/>
  <c r="O119" i="244"/>
  <c r="L108" i="244"/>
  <c r="O108" i="244"/>
  <c r="N108" i="244"/>
  <c r="L111" i="244"/>
  <c r="O111" i="244"/>
  <c r="N111" i="244"/>
  <c r="L107" i="244"/>
  <c r="N107" i="244"/>
  <c r="O107" i="244"/>
  <c r="L103" i="244"/>
  <c r="O103" i="244"/>
  <c r="N103" i="244"/>
  <c r="L106" i="244"/>
  <c r="N106" i="244"/>
  <c r="O106" i="244"/>
  <c r="L105" i="244"/>
  <c r="O105" i="244"/>
  <c r="N105" i="244"/>
  <c r="O109" i="244"/>
  <c r="L109" i="244"/>
  <c r="N109" i="244"/>
  <c r="L110" i="244"/>
  <c r="N110" i="244"/>
  <c r="O110" i="244"/>
  <c r="L93" i="244"/>
  <c r="N93" i="244"/>
  <c r="L92" i="244"/>
  <c r="N92" i="244"/>
  <c r="L88" i="244"/>
  <c r="N88" i="244"/>
  <c r="L95" i="244"/>
  <c r="N95" i="244"/>
  <c r="L91" i="244"/>
  <c r="N91" i="244"/>
  <c r="L94" i="244"/>
  <c r="N94" i="244"/>
  <c r="L87" i="244"/>
  <c r="N87" i="244"/>
  <c r="L90" i="244"/>
  <c r="N90" i="244"/>
  <c r="BB18" i="235"/>
  <c r="C182" i="244" s="1"/>
  <c r="P182" i="244" s="1"/>
  <c r="AN18" i="235"/>
  <c r="BI26" i="236"/>
  <c r="BN26" i="236" s="1"/>
  <c r="AA169" i="244"/>
  <c r="AB169" i="244"/>
  <c r="AA168" i="244"/>
  <c r="AB168" i="244"/>
  <c r="AA167" i="244"/>
  <c r="AB167" i="244"/>
  <c r="AA159" i="244"/>
  <c r="AB159" i="244"/>
  <c r="AA156" i="244"/>
  <c r="AB156" i="244"/>
  <c r="AA158" i="244"/>
  <c r="AB158" i="244"/>
  <c r="AA157" i="244"/>
  <c r="AB157" i="244"/>
  <c r="AA152" i="244"/>
  <c r="AB152" i="244"/>
  <c r="AA151" i="244"/>
  <c r="AB151" i="244"/>
  <c r="AA154" i="244"/>
  <c r="AB154" i="244"/>
  <c r="AA155" i="244"/>
  <c r="AB155" i="244"/>
  <c r="AA150" i="244"/>
  <c r="AB150" i="244"/>
  <c r="AB136" i="244"/>
  <c r="AA136" i="244"/>
  <c r="AA135" i="244"/>
  <c r="AB135" i="244"/>
  <c r="AA141" i="244"/>
  <c r="AB141" i="244"/>
  <c r="AA139" i="244"/>
  <c r="AB139" i="244"/>
  <c r="AA142" i="244"/>
  <c r="AB142" i="244"/>
  <c r="AB140" i="244"/>
  <c r="AA140" i="244"/>
  <c r="AA138" i="244"/>
  <c r="AB138" i="244"/>
  <c r="AA143" i="244"/>
  <c r="AB143" i="244"/>
  <c r="AA125" i="244"/>
  <c r="AB125" i="244"/>
  <c r="AA123" i="244"/>
  <c r="AB123" i="244"/>
  <c r="AA121" i="244"/>
  <c r="AB121" i="244"/>
  <c r="AA120" i="244"/>
  <c r="AB120" i="244"/>
  <c r="AA127" i="244"/>
  <c r="AB127" i="244"/>
  <c r="AA119" i="244"/>
  <c r="AB119" i="244"/>
  <c r="AA124" i="244"/>
  <c r="AB124" i="244"/>
  <c r="AA126" i="244"/>
  <c r="AB126" i="244"/>
  <c r="AA108" i="244"/>
  <c r="AB108" i="244"/>
  <c r="AA110" i="244"/>
  <c r="AB110" i="244"/>
  <c r="AA103" i="244"/>
  <c r="AB103" i="244"/>
  <c r="AA106" i="244"/>
  <c r="AB106" i="244"/>
  <c r="AA109" i="244"/>
  <c r="AB109" i="244"/>
  <c r="AA111" i="244"/>
  <c r="AB111" i="244"/>
  <c r="AA105" i="244"/>
  <c r="AB105" i="244"/>
  <c r="AA107" i="244"/>
  <c r="AB107" i="244"/>
  <c r="AA90" i="244"/>
  <c r="AB90" i="244"/>
  <c r="AA92" i="244"/>
  <c r="AB92" i="244"/>
  <c r="AA87" i="244"/>
  <c r="AB87" i="244"/>
  <c r="AA93" i="244"/>
  <c r="AB93" i="244"/>
  <c r="AA88" i="244"/>
  <c r="AB88" i="244"/>
  <c r="AA95" i="244"/>
  <c r="AB95" i="244"/>
  <c r="AA94" i="244"/>
  <c r="AB94" i="244"/>
  <c r="AA91" i="244"/>
  <c r="AB91" i="244"/>
  <c r="AF10" i="244"/>
  <c r="AA10" i="244"/>
  <c r="AF7" i="244"/>
  <c r="AA7" i="244"/>
  <c r="AF8" i="244"/>
  <c r="AA8" i="244"/>
  <c r="AF9" i="244"/>
  <c r="AA9" i="244"/>
  <c r="AF11" i="244"/>
  <c r="AA11" i="244"/>
  <c r="Q10" i="244"/>
  <c r="Y10" i="244"/>
  <c r="AH10" i="244"/>
  <c r="P10" i="244"/>
  <c r="V10" i="244"/>
  <c r="S10" i="244"/>
  <c r="AC10" i="244"/>
  <c r="U10" i="244"/>
  <c r="AD10" i="244"/>
  <c r="U7" i="244"/>
  <c r="AD7" i="244"/>
  <c r="AC7" i="244"/>
  <c r="P7" i="244"/>
  <c r="V7" i="244"/>
  <c r="Q7" i="244"/>
  <c r="Y7" i="244"/>
  <c r="AH7" i="244"/>
  <c r="S7" i="244"/>
  <c r="U9" i="244"/>
  <c r="AD9" i="244"/>
  <c r="AC9" i="244"/>
  <c r="P9" i="244"/>
  <c r="V9" i="244"/>
  <c r="Q9" i="244"/>
  <c r="Y9" i="244"/>
  <c r="AH9" i="244"/>
  <c r="S9" i="244"/>
  <c r="Q8" i="244"/>
  <c r="Y8" i="244"/>
  <c r="AH8" i="244"/>
  <c r="S8" i="244"/>
  <c r="AC8" i="244"/>
  <c r="P8" i="244"/>
  <c r="V8" i="244"/>
  <c r="U8" i="244"/>
  <c r="AD8" i="244"/>
  <c r="U11" i="244"/>
  <c r="AD11" i="244"/>
  <c r="P11" i="244"/>
  <c r="V11" i="244"/>
  <c r="S11" i="244"/>
  <c r="AC11" i="244"/>
  <c r="Q11" i="244"/>
  <c r="Y11" i="244"/>
  <c r="AH11" i="244"/>
  <c r="Y168" i="244"/>
  <c r="AH168" i="244"/>
  <c r="S168" i="244"/>
  <c r="V168" i="244"/>
  <c r="AF168" i="244"/>
  <c r="U168" i="244"/>
  <c r="Y169" i="244"/>
  <c r="AH169" i="244"/>
  <c r="S169" i="244"/>
  <c r="AF169" i="244"/>
  <c r="U169" i="244"/>
  <c r="V169" i="244"/>
  <c r="Y167" i="244"/>
  <c r="AH167" i="244"/>
  <c r="S167" i="244"/>
  <c r="V167" i="244"/>
  <c r="AF167" i="244"/>
  <c r="U167" i="244"/>
  <c r="Y154" i="244"/>
  <c r="AH154" i="244"/>
  <c r="U154" i="244"/>
  <c r="S154" i="244"/>
  <c r="V154" i="244"/>
  <c r="AF154" i="244"/>
  <c r="Y151" i="244"/>
  <c r="AH151" i="244"/>
  <c r="U151" i="244"/>
  <c r="S151" i="244"/>
  <c r="V151" i="244"/>
  <c r="AF151" i="244"/>
  <c r="Y156" i="244"/>
  <c r="AH156" i="244"/>
  <c r="U156" i="244"/>
  <c r="S156" i="244"/>
  <c r="V156" i="244"/>
  <c r="AF156" i="244"/>
  <c r="Y158" i="244"/>
  <c r="AH158" i="244"/>
  <c r="S158" i="244"/>
  <c r="U158" i="244"/>
  <c r="V158" i="244"/>
  <c r="AF158" i="244"/>
  <c r="Y155" i="244"/>
  <c r="AH155" i="244"/>
  <c r="U155" i="244"/>
  <c r="S155" i="244"/>
  <c r="V155" i="244"/>
  <c r="AF155" i="244"/>
  <c r="Y157" i="244"/>
  <c r="AH157" i="244"/>
  <c r="S157" i="244"/>
  <c r="U157" i="244"/>
  <c r="V157" i="244"/>
  <c r="AF157" i="244"/>
  <c r="Y152" i="244"/>
  <c r="AH152" i="244"/>
  <c r="U152" i="244"/>
  <c r="V152" i="244"/>
  <c r="AF152" i="244"/>
  <c r="S152" i="244"/>
  <c r="Y159" i="244"/>
  <c r="AH159" i="244"/>
  <c r="U159" i="244"/>
  <c r="S159" i="244"/>
  <c r="V159" i="244"/>
  <c r="AF159" i="244"/>
  <c r="AF150" i="244"/>
  <c r="V150" i="244"/>
  <c r="AH150" i="244"/>
  <c r="Y150" i="244"/>
  <c r="U150" i="244"/>
  <c r="S150" i="244"/>
  <c r="AI134" i="244"/>
  <c r="AG134" i="244" s="1"/>
  <c r="U139" i="244"/>
  <c r="S139" i="244"/>
  <c r="AH139" i="244"/>
  <c r="Y139" i="244"/>
  <c r="AF139" i="244"/>
  <c r="V139" i="244"/>
  <c r="AH140" i="244"/>
  <c r="Y140" i="244"/>
  <c r="AF140" i="244"/>
  <c r="V140" i="244"/>
  <c r="U140" i="244"/>
  <c r="S140" i="244"/>
  <c r="AH138" i="244"/>
  <c r="Y138" i="244"/>
  <c r="AF138" i="244"/>
  <c r="V138" i="244"/>
  <c r="U138" i="244"/>
  <c r="S138" i="244"/>
  <c r="U143" i="244"/>
  <c r="S143" i="244"/>
  <c r="AH143" i="244"/>
  <c r="Y143" i="244"/>
  <c r="AF143" i="244"/>
  <c r="V143" i="244"/>
  <c r="U141" i="244"/>
  <c r="S141" i="244"/>
  <c r="Y141" i="244"/>
  <c r="AH141" i="244"/>
  <c r="V141" i="244"/>
  <c r="AF141" i="244"/>
  <c r="AH142" i="244"/>
  <c r="Y142" i="244"/>
  <c r="AF142" i="244"/>
  <c r="V142" i="244"/>
  <c r="U142" i="244"/>
  <c r="S142" i="244"/>
  <c r="AH136" i="244"/>
  <c r="Y136" i="244"/>
  <c r="S136" i="244"/>
  <c r="AF136" i="244"/>
  <c r="U136" i="244"/>
  <c r="V136" i="244"/>
  <c r="U135" i="244"/>
  <c r="Y135" i="244"/>
  <c r="AH135" i="244"/>
  <c r="V135" i="244"/>
  <c r="AF135" i="244"/>
  <c r="S135" i="244"/>
  <c r="S120" i="244"/>
  <c r="AH120" i="244"/>
  <c r="Y120" i="244"/>
  <c r="U120" i="244"/>
  <c r="AF120" i="244"/>
  <c r="V120" i="244"/>
  <c r="S124" i="244"/>
  <c r="AF124" i="244"/>
  <c r="V124" i="244"/>
  <c r="AH124" i="244"/>
  <c r="Y124" i="244"/>
  <c r="U124" i="244"/>
  <c r="S126" i="244"/>
  <c r="Y126" i="244"/>
  <c r="AF126" i="244"/>
  <c r="V126" i="244"/>
  <c r="AH126" i="244"/>
  <c r="U126" i="244"/>
  <c r="AF127" i="244"/>
  <c r="V127" i="244"/>
  <c r="S127" i="244"/>
  <c r="U127" i="244"/>
  <c r="AH127" i="244"/>
  <c r="Y127" i="244"/>
  <c r="AF121" i="244"/>
  <c r="V121" i="244"/>
  <c r="S121" i="244"/>
  <c r="U121" i="244"/>
  <c r="AH121" i="244"/>
  <c r="Y121" i="244"/>
  <c r="AF119" i="244"/>
  <c r="V119" i="244"/>
  <c r="U119" i="244"/>
  <c r="AH119" i="244"/>
  <c r="Y119" i="244"/>
  <c r="S119" i="244"/>
  <c r="AF125" i="244"/>
  <c r="V125" i="244"/>
  <c r="S125" i="244"/>
  <c r="U125" i="244"/>
  <c r="Y125" i="244"/>
  <c r="AH125" i="244"/>
  <c r="AF123" i="244"/>
  <c r="V123" i="244"/>
  <c r="S123" i="244"/>
  <c r="U123" i="244"/>
  <c r="AH123" i="244"/>
  <c r="Y123" i="244"/>
  <c r="AF105" i="244"/>
  <c r="V105" i="244"/>
  <c r="AH105" i="244"/>
  <c r="U105" i="244"/>
  <c r="S105" i="244"/>
  <c r="Y105" i="244"/>
  <c r="AF107" i="244"/>
  <c r="V107" i="244"/>
  <c r="AH107" i="244"/>
  <c r="U107" i="244"/>
  <c r="S107" i="244"/>
  <c r="Y107" i="244"/>
  <c r="S110" i="244"/>
  <c r="AH110" i="244"/>
  <c r="Y110" i="244"/>
  <c r="AF110" i="244"/>
  <c r="V110" i="244"/>
  <c r="U110" i="244"/>
  <c r="AF103" i="244"/>
  <c r="V103" i="244"/>
  <c r="AH103" i="244"/>
  <c r="U103" i="244"/>
  <c r="S103" i="244"/>
  <c r="Y103" i="244"/>
  <c r="S106" i="244"/>
  <c r="AH106" i="244"/>
  <c r="Y106" i="244"/>
  <c r="AF106" i="244"/>
  <c r="V106" i="244"/>
  <c r="U106" i="244"/>
  <c r="S108" i="244"/>
  <c r="AH108" i="244"/>
  <c r="Y108" i="244"/>
  <c r="AF108" i="244"/>
  <c r="V108" i="244"/>
  <c r="U108" i="244"/>
  <c r="AF109" i="244"/>
  <c r="V109" i="244"/>
  <c r="U109" i="244"/>
  <c r="AH109" i="244"/>
  <c r="S109" i="244"/>
  <c r="Y109" i="244"/>
  <c r="AF111" i="244"/>
  <c r="V111" i="244"/>
  <c r="AH111" i="244"/>
  <c r="U111" i="244"/>
  <c r="S111" i="244"/>
  <c r="Y111" i="244"/>
  <c r="Y94" i="244"/>
  <c r="AH94" i="244"/>
  <c r="S94" i="244"/>
  <c r="AF94" i="244"/>
  <c r="U94" i="244"/>
  <c r="V94" i="244"/>
  <c r="Y87" i="244"/>
  <c r="AH87" i="244"/>
  <c r="S87" i="244"/>
  <c r="AF87" i="244"/>
  <c r="V87" i="244"/>
  <c r="U87" i="244"/>
  <c r="Y91" i="244"/>
  <c r="AH91" i="244"/>
  <c r="S91" i="244"/>
  <c r="AF91" i="244"/>
  <c r="U91" i="244"/>
  <c r="V91" i="244"/>
  <c r="Y90" i="244"/>
  <c r="AH90" i="244"/>
  <c r="S90" i="244"/>
  <c r="AF90" i="244"/>
  <c r="U90" i="244"/>
  <c r="V90" i="244"/>
  <c r="Y93" i="244"/>
  <c r="AH93" i="244"/>
  <c r="S93" i="244"/>
  <c r="V93" i="244"/>
  <c r="AF93" i="244"/>
  <c r="U93" i="244"/>
  <c r="Y88" i="244"/>
  <c r="AH88" i="244"/>
  <c r="S88" i="244"/>
  <c r="U88" i="244"/>
  <c r="AF88" i="244"/>
  <c r="V88" i="244"/>
  <c r="Y92" i="244"/>
  <c r="AH92" i="244"/>
  <c r="S92" i="244"/>
  <c r="U92" i="244"/>
  <c r="AF92" i="244"/>
  <c r="V92" i="244"/>
  <c r="Y95" i="244"/>
  <c r="AH95" i="244"/>
  <c r="S95" i="244"/>
  <c r="AF95" i="244"/>
  <c r="V95" i="244"/>
  <c r="U95" i="244"/>
  <c r="AN28" i="218"/>
  <c r="AL28" i="218"/>
  <c r="AK28" i="218"/>
  <c r="AM28" i="218"/>
  <c r="BI18" i="237"/>
  <c r="BR18" i="237" s="1"/>
  <c r="M15" i="221" l="1"/>
  <c r="R12" i="240"/>
  <c r="BJ18" i="240"/>
  <c r="AI13" i="240" s="1"/>
  <c r="V70" i="244"/>
  <c r="L28" i="221"/>
  <c r="BI18" i="240"/>
  <c r="BN18" i="240" s="1"/>
  <c r="AK29" i="218"/>
  <c r="T134" i="244"/>
  <c r="P134" i="244"/>
  <c r="Q134" i="244"/>
  <c r="AD134" i="244"/>
  <c r="O134" i="244"/>
  <c r="AC134" i="244"/>
  <c r="L134" i="244"/>
  <c r="N134" i="244"/>
  <c r="C58" i="244"/>
  <c r="B182" i="244"/>
  <c r="Q182" i="244"/>
  <c r="AM29" i="218"/>
  <c r="BI18" i="236"/>
  <c r="BN18" i="236" s="1"/>
  <c r="AL29" i="218"/>
  <c r="AN29" i="218"/>
  <c r="C18" i="244"/>
  <c r="AA134" i="244"/>
  <c r="AB134" i="244"/>
  <c r="AB10" i="244"/>
  <c r="AB8" i="244"/>
  <c r="AB9" i="244"/>
  <c r="AB7" i="244"/>
  <c r="AB11" i="244"/>
  <c r="Y134" i="244"/>
  <c r="U134" i="244"/>
  <c r="V134" i="244"/>
  <c r="AF134" i="244"/>
  <c r="AH134" i="244"/>
  <c r="S134" i="244"/>
  <c r="B18" i="244" l="1"/>
  <c r="AY18" i="244"/>
  <c r="AS18" i="244" s="1" a="1"/>
  <c r="AS18" i="244" s="1"/>
  <c r="C70" i="244"/>
  <c r="AX70" i="244" s="1"/>
  <c r="C54" i="244"/>
  <c r="B54" i="244" s="1"/>
  <c r="AX58" i="244"/>
  <c r="B58" i="244"/>
  <c r="AX18" i="244"/>
  <c r="O10" i="244"/>
  <c r="O7" i="244"/>
  <c r="O8" i="244"/>
  <c r="O9" i="244"/>
  <c r="O11" i="244"/>
  <c r="AR18" i="244" l="1" a="1"/>
  <c r="AR18" i="244" s="1"/>
  <c r="B70" i="244"/>
  <c r="AX54" i="244"/>
  <c r="C236" i="221"/>
  <c r="C239" i="221"/>
  <c r="C244" i="221"/>
  <c r="C238" i="221"/>
  <c r="C190" i="221"/>
  <c r="C240" i="221"/>
  <c r="C242" i="221"/>
  <c r="C243" i="221"/>
  <c r="C237" i="221"/>
  <c r="C241" i="221"/>
  <c r="C234" i="221" l="1"/>
  <c r="D234" i="221"/>
  <c r="C184" i="221"/>
  <c r="E184" i="221" s="1"/>
  <c r="BD15" i="109"/>
  <c r="BD14" i="109"/>
  <c r="BA14" i="109"/>
  <c r="BA15" i="109"/>
  <c r="BC15" i="109"/>
  <c r="BC14" i="109"/>
  <c r="BB15" i="109"/>
  <c r="BB14" i="109"/>
  <c r="E234" i="221" l="1"/>
  <c r="P35" i="218"/>
  <c r="R21" i="209" l="1"/>
  <c r="P40" i="218"/>
  <c r="R19" i="209"/>
  <c r="J28" i="221"/>
  <c r="K30" i="221"/>
  <c r="R30" i="221"/>
  <c r="S30" i="221" s="1"/>
  <c r="AO54" i="209" l="1"/>
  <c r="K29" i="221"/>
  <c r="K31" i="221" s="1"/>
  <c r="H28" i="221"/>
  <c r="C213" i="221" s="1"/>
  <c r="I28" i="221"/>
  <c r="I29" i="221"/>
  <c r="H29" i="221"/>
  <c r="T28" i="221" l="1"/>
  <c r="H31" i="221"/>
  <c r="C214" i="221"/>
  <c r="T29" i="221"/>
  <c r="BA7" i="226" s="1"/>
  <c r="I31" i="221"/>
  <c r="K28" i="221"/>
  <c r="J29" i="221"/>
  <c r="M28" i="221"/>
  <c r="N28" i="221"/>
  <c r="BA7" i="230" l="1"/>
  <c r="BA7" i="235"/>
  <c r="BA7" i="234"/>
  <c r="BA7" i="233"/>
  <c r="BA7" i="240"/>
  <c r="BA7" i="237"/>
  <c r="BA7" i="236"/>
  <c r="BA7" i="229"/>
  <c r="BA7" i="242"/>
  <c r="BA7" i="232"/>
  <c r="BA7" i="231"/>
  <c r="AO55" i="209"/>
  <c r="J31" i="221"/>
  <c r="T37" i="208"/>
  <c r="AL54" i="209"/>
  <c r="AD37" i="208"/>
  <c r="AI54" i="209"/>
  <c r="P28" i="221"/>
  <c r="Y37" i="208" s="1"/>
  <c r="O28" i="221"/>
  <c r="BP20" i="242" l="1"/>
  <c r="AY20" i="242" s="1"/>
  <c r="AT14" i="244" s="1"/>
  <c r="BM26" i="236" l="1"/>
  <c r="BM18" i="240"/>
  <c r="R15" i="221" s="1"/>
  <c r="BM18" i="236"/>
  <c r="R14" i="221" l="1"/>
  <c r="AT153" i="244"/>
  <c r="R21" i="221"/>
  <c r="AT137" i="244"/>
  <c r="R20" i="221"/>
  <c r="BM18" i="237" l="1"/>
  <c r="BP18" i="226"/>
  <c r="AY18" i="226" s="1"/>
  <c r="R13" i="221" l="1"/>
  <c r="R28" i="221" s="1"/>
  <c r="S28" i="221" s="1"/>
  <c r="AT6" i="244"/>
  <c r="AT122" i="244"/>
  <c r="R19" i="221"/>
  <c r="AT104" i="244"/>
  <c r="R18" i="221"/>
  <c r="R10" i="221"/>
  <c r="AY18" i="230" l="1"/>
  <c r="AT86" i="244" l="1"/>
  <c r="R17" i="221"/>
  <c r="R29" i="221" s="1"/>
  <c r="S29" i="221" l="1"/>
  <c r="AZ7" i="237" s="1"/>
  <c r="R31" i="221"/>
  <c r="AZ7" i="226" l="1"/>
  <c r="AZ7" i="236"/>
  <c r="AZ7" i="229"/>
  <c r="AZ7" i="230"/>
  <c r="AZ7" i="234"/>
  <c r="AZ7" i="233"/>
  <c r="AZ7" i="242"/>
  <c r="AZ7" i="231"/>
  <c r="AZ7" i="232"/>
  <c r="AZ7" i="240"/>
  <c r="AZ7" i="235"/>
  <c r="AZ18" i="229" l="1"/>
  <c r="AU134" i="244" s="1"/>
  <c r="AZ18" i="243" l="1"/>
  <c r="BC19" i="243" l="1"/>
  <c r="AH23" i="243"/>
  <c r="AD18" i="242" s="1"/>
  <c r="BK18" i="242" l="1"/>
  <c r="AY19" i="243"/>
  <c r="AY23" i="243" s="1"/>
  <c r="X18" i="242" s="1"/>
  <c r="C18" i="242" s="1"/>
  <c r="BA19" i="243"/>
  <c r="BA23" i="243" s="1"/>
  <c r="I13" i="244" l="1"/>
  <c r="AA18" i="242"/>
  <c r="AS13" i="244" s="1"/>
  <c r="V18" i="242"/>
  <c r="AM13" i="244"/>
  <c r="AC19" i="243"/>
  <c r="BB19" i="243" l="1"/>
  <c r="BB23" i="243" s="1"/>
  <c r="AZ19" i="243"/>
  <c r="AZ23" i="243" s="1"/>
  <c r="S18" i="242" s="1"/>
  <c r="AL13" i="244" l="1"/>
  <c r="BH18" i="242"/>
  <c r="Q18" i="242"/>
  <c r="BB18" i="242" l="1"/>
  <c r="BB200" i="242" s="1"/>
  <c r="AH18" i="242"/>
  <c r="P11" i="221" s="1"/>
  <c r="BC18" i="242"/>
  <c r="BJ18" i="242"/>
  <c r="AK13" i="244" l="1"/>
  <c r="BC200" i="242"/>
  <c r="BO18" i="242"/>
  <c r="AK18" i="242"/>
  <c r="AJ13" i="244"/>
  <c r="L11" i="221"/>
  <c r="K27" i="221"/>
  <c r="K32" i="221"/>
  <c r="O44" i="220" s="1"/>
  <c r="AZ18" i="242" l="1"/>
  <c r="AU13" i="244" s="1"/>
  <c r="N11" i="221"/>
  <c r="AF15" i="244"/>
  <c r="AF16" i="244"/>
  <c r="BF18" i="242"/>
  <c r="O11" i="221" s="1"/>
  <c r="L32" i="221"/>
  <c r="L27" i="221"/>
  <c r="H11" i="221"/>
  <c r="I11" i="221"/>
  <c r="BI18" i="242"/>
  <c r="BP18" i="242" l="1"/>
  <c r="AY18" i="242" s="1"/>
  <c r="AT13" i="244" s="1"/>
  <c r="AI47" i="209" s="1"/>
  <c r="BF200" i="242"/>
  <c r="J11" i="221"/>
  <c r="H27" i="221"/>
  <c r="C212" i="221" s="1"/>
  <c r="I27" i="221"/>
  <c r="AY18" i="235" s="1"/>
  <c r="T27" i="221" l="1"/>
  <c r="T31" i="221"/>
  <c r="J27" i="221"/>
  <c r="AZ18" i="235" s="1"/>
  <c r="R11" i="221"/>
  <c r="BQ2" i="244" l="1"/>
  <c r="BA8" i="236"/>
  <c r="BA8" i="237"/>
  <c r="BA8" i="235"/>
  <c r="BA8" i="240"/>
  <c r="BA6" i="236"/>
  <c r="BA6" i="235"/>
  <c r="BA6" i="240"/>
  <c r="BA6" i="237"/>
  <c r="AO56" i="209"/>
  <c r="U182" i="244"/>
  <c r="J24" i="221"/>
  <c r="AO53" i="209"/>
  <c r="BA8" i="229"/>
  <c r="BA8" i="226"/>
  <c r="BA8" i="233"/>
  <c r="BA8" i="232"/>
  <c r="BA8" i="230"/>
  <c r="BA8" i="242"/>
  <c r="BA8" i="234"/>
  <c r="BA8" i="231"/>
  <c r="BA6" i="226"/>
  <c r="BA6" i="233"/>
  <c r="BA6" i="232"/>
  <c r="BA6" i="230"/>
  <c r="BA6" i="242"/>
  <c r="BA6" i="234"/>
  <c r="BA6" i="229"/>
  <c r="BA6" i="231"/>
  <c r="R27" i="221"/>
  <c r="S27" i="221" s="1"/>
  <c r="R32" i="221"/>
  <c r="S32" i="221" s="1"/>
  <c r="AZ6" i="237" l="1"/>
  <c r="AZ6" i="235"/>
  <c r="AZ6" i="236"/>
  <c r="AZ6" i="240"/>
  <c r="J30" i="221"/>
  <c r="J32" i="221"/>
  <c r="AZ6" i="242"/>
  <c r="AZ6" i="234"/>
  <c r="AZ6" i="229"/>
  <c r="AZ6" i="231"/>
  <c r="AZ6" i="226"/>
  <c r="AZ6" i="233"/>
  <c r="AZ6" i="232"/>
  <c r="AZ6" i="230"/>
  <c r="AN18" i="226" l="1"/>
  <c r="BN18" i="226" s="1"/>
  <c r="S31" i="221"/>
  <c r="BQ24" i="230" s="1"/>
  <c r="BO24" i="230" s="1"/>
  <c r="C89" i="244" s="1"/>
  <c r="B89" i="244" s="1"/>
  <c r="BN24" i="230" l="1"/>
  <c r="AI89" i="244"/>
  <c r="BQ18" i="232"/>
  <c r="BO18" i="232" s="1"/>
  <c r="C118" i="244" s="1"/>
  <c r="B118" i="244" s="1"/>
  <c r="BQ18" i="234"/>
  <c r="BQ18" i="230"/>
  <c r="BQ18" i="231"/>
  <c r="AZ8" i="230"/>
  <c r="AN18" i="242"/>
  <c r="BN18" i="242" s="1"/>
  <c r="BM18" i="242"/>
  <c r="C13" i="244" s="1"/>
  <c r="B13" i="244" s="1"/>
  <c r="AZ8" i="237"/>
  <c r="BQ26" i="232"/>
  <c r="BQ24" i="229"/>
  <c r="BQ24" i="233"/>
  <c r="BQ22" i="231"/>
  <c r="AZ8" i="232"/>
  <c r="AZ8" i="229"/>
  <c r="AZ8" i="231"/>
  <c r="AZ8" i="234"/>
  <c r="AZ8" i="233"/>
  <c r="AZ8" i="226"/>
  <c r="AZ8" i="242"/>
  <c r="AZ8" i="235"/>
  <c r="AZ8" i="236"/>
  <c r="AZ8" i="240"/>
  <c r="BP2" i="244"/>
  <c r="AI6" i="244"/>
  <c r="BM18" i="226"/>
  <c r="C6" i="244" s="1"/>
  <c r="AI13" i="244"/>
  <c r="O13" i="244" s="1"/>
  <c r="V182" i="244"/>
  <c r="B116" i="244"/>
  <c r="M24" i="221"/>
  <c r="M30" i="221" s="1"/>
  <c r="AN31" i="218"/>
  <c r="AM31" i="218"/>
  <c r="AL31" i="218"/>
  <c r="AK31" i="218"/>
  <c r="AH31" i="218" s="1"/>
  <c r="P30" i="221"/>
  <c r="Y38" i="208" s="1"/>
  <c r="N30" i="221"/>
  <c r="V12" i="235"/>
  <c r="O30" i="221"/>
  <c r="R12" i="235"/>
  <c r="Z12" i="235"/>
  <c r="AM19" i="218" l="1"/>
  <c r="T89" i="244"/>
  <c r="P89" i="244"/>
  <c r="AG89" i="244"/>
  <c r="AF89" i="244"/>
  <c r="Y89" i="244"/>
  <c r="AH89" i="244"/>
  <c r="AA89" i="244"/>
  <c r="S89" i="244"/>
  <c r="AB89" i="244"/>
  <c r="V89" i="244"/>
  <c r="AD89" i="244"/>
  <c r="L89" i="244"/>
  <c r="U89" i="244"/>
  <c r="AC89" i="244"/>
  <c r="O89" i="244"/>
  <c r="N89" i="244"/>
  <c r="Q89" i="244"/>
  <c r="AI118" i="244"/>
  <c r="AF118" i="244" s="1"/>
  <c r="BO18" i="234"/>
  <c r="C166" i="244" s="1"/>
  <c r="B166" i="244" s="1"/>
  <c r="AI166" i="244"/>
  <c r="AL23" i="218"/>
  <c r="BO24" i="233"/>
  <c r="C153" i="244" s="1"/>
  <c r="B153" i="244" s="1"/>
  <c r="BO24" i="229"/>
  <c r="C137" i="244" s="1"/>
  <c r="B137" i="244" s="1"/>
  <c r="AN22" i="218"/>
  <c r="BO26" i="232"/>
  <c r="C122" i="244" s="1"/>
  <c r="B122" i="244" s="1"/>
  <c r="BO18" i="230"/>
  <c r="C86" i="244" s="1"/>
  <c r="B86" i="244" s="1"/>
  <c r="BO18" i="231"/>
  <c r="C102" i="244" s="1"/>
  <c r="B102" i="244" s="1"/>
  <c r="AI102" i="244"/>
  <c r="BO22" i="231"/>
  <c r="C104" i="244" s="1"/>
  <c r="B104" i="244" s="1"/>
  <c r="L13" i="244"/>
  <c r="N13" i="244"/>
  <c r="L6" i="244"/>
  <c r="N6" i="244"/>
  <c r="AH6" i="244"/>
  <c r="AI14" i="244"/>
  <c r="BM20" i="242"/>
  <c r="C14" i="244" s="1"/>
  <c r="B14" i="244" s="1"/>
  <c r="AN20" i="242"/>
  <c r="BN20" i="242" s="1"/>
  <c r="AI13" i="242" s="1"/>
  <c r="AI137" i="244"/>
  <c r="AI153" i="244"/>
  <c r="AI104" i="244"/>
  <c r="AI122" i="244"/>
  <c r="AI86" i="244"/>
  <c r="S6" i="244"/>
  <c r="Q6" i="244"/>
  <c r="V6" i="244"/>
  <c r="AC6" i="244"/>
  <c r="P6" i="244"/>
  <c r="AA6" i="244"/>
  <c r="U6" i="244"/>
  <c r="AF6" i="244"/>
  <c r="Y6" i="244"/>
  <c r="AD6" i="244"/>
  <c r="AA13" i="244"/>
  <c r="AB13" i="244"/>
  <c r="Q13" i="244"/>
  <c r="S13" i="244"/>
  <c r="AD13" i="244"/>
  <c r="AH13" i="244"/>
  <c r="Y13" i="244"/>
  <c r="U13" i="244"/>
  <c r="AC13" i="244"/>
  <c r="P13" i="244"/>
  <c r="AF13" i="244"/>
  <c r="V13" i="244"/>
  <c r="B6" i="244"/>
  <c r="B147" i="244"/>
  <c r="B121" i="244"/>
  <c r="M17" i="221"/>
  <c r="Z12" i="230"/>
  <c r="V12" i="230"/>
  <c r="R12" i="230"/>
  <c r="AL19" i="218"/>
  <c r="AN19" i="218"/>
  <c r="AK19" i="218"/>
  <c r="AD38" i="208"/>
  <c r="AI56" i="209"/>
  <c r="M10" i="221"/>
  <c r="R12" i="226"/>
  <c r="AI13" i="226"/>
  <c r="V12" i="226"/>
  <c r="Z12" i="226"/>
  <c r="V12" i="242" l="1"/>
  <c r="Z12" i="242"/>
  <c r="R12" i="242"/>
  <c r="P118" i="244"/>
  <c r="AD118" i="244"/>
  <c r="O118" i="244"/>
  <c r="Q118" i="244"/>
  <c r="AA118" i="244"/>
  <c r="U118" i="244"/>
  <c r="Y118" i="244"/>
  <c r="AH118" i="244"/>
  <c r="S118" i="244"/>
  <c r="N118" i="244"/>
  <c r="AC118" i="244"/>
  <c r="L118" i="244"/>
  <c r="V118" i="244"/>
  <c r="T166" i="244"/>
  <c r="AG166" i="244"/>
  <c r="T153" i="244"/>
  <c r="AG153" i="244"/>
  <c r="T137" i="244"/>
  <c r="AG137" i="244"/>
  <c r="T122" i="244"/>
  <c r="AG122" i="244"/>
  <c r="T118" i="244"/>
  <c r="AG118" i="244"/>
  <c r="AB118" i="244"/>
  <c r="T104" i="244"/>
  <c r="AG104" i="244"/>
  <c r="T102" i="244"/>
  <c r="AG102" i="244"/>
  <c r="T86" i="244"/>
  <c r="AG86" i="244"/>
  <c r="Q166" i="244"/>
  <c r="O166" i="244"/>
  <c r="AA166" i="244"/>
  <c r="AC166" i="244"/>
  <c r="AB166" i="244"/>
  <c r="AF166" i="244"/>
  <c r="AD166" i="244"/>
  <c r="V166" i="244"/>
  <c r="P166" i="244"/>
  <c r="S166" i="244"/>
  <c r="AH166" i="244"/>
  <c r="L166" i="244"/>
  <c r="Y166" i="244"/>
  <c r="N166" i="244"/>
  <c r="U166" i="244"/>
  <c r="AN24" i="218"/>
  <c r="AM24" i="218"/>
  <c r="M22" i="221"/>
  <c r="AL24" i="218"/>
  <c r="AK24" i="218"/>
  <c r="V12" i="234"/>
  <c r="Z12" i="234"/>
  <c r="R12" i="234"/>
  <c r="M18" i="221"/>
  <c r="R12" i="231"/>
  <c r="AM20" i="218"/>
  <c r="AD102" i="244"/>
  <c r="L102" i="244"/>
  <c r="N102" i="244"/>
  <c r="AA102" i="244"/>
  <c r="AB102" i="244"/>
  <c r="P102" i="244"/>
  <c r="S102" i="244"/>
  <c r="Q102" i="244"/>
  <c r="AH102" i="244"/>
  <c r="O102" i="244"/>
  <c r="Y102" i="244"/>
  <c r="AF102" i="244"/>
  <c r="U102" i="244"/>
  <c r="V102" i="244"/>
  <c r="AC102" i="244"/>
  <c r="AD153" i="244"/>
  <c r="AC153" i="244"/>
  <c r="P153" i="244"/>
  <c r="Q153" i="244"/>
  <c r="Q137" i="244"/>
  <c r="P137" i="244"/>
  <c r="AC137" i="244"/>
  <c r="AD137" i="244"/>
  <c r="AD122" i="244"/>
  <c r="AC122" i="244"/>
  <c r="P122" i="244"/>
  <c r="Q122" i="244"/>
  <c r="AK20" i="218"/>
  <c r="AL20" i="218"/>
  <c r="Z12" i="231"/>
  <c r="AN20" i="218"/>
  <c r="P104" i="244"/>
  <c r="Q104" i="244"/>
  <c r="V12" i="231"/>
  <c r="AC104" i="244"/>
  <c r="AD104" i="244"/>
  <c r="AC86" i="244"/>
  <c r="AD86" i="244"/>
  <c r="Q86" i="244"/>
  <c r="O86" i="244"/>
  <c r="P86" i="244"/>
  <c r="L14" i="244"/>
  <c r="N14" i="244"/>
  <c r="O14" i="244"/>
  <c r="AB153" i="244"/>
  <c r="N153" i="244"/>
  <c r="L153" i="244"/>
  <c r="O153" i="244"/>
  <c r="AA137" i="244"/>
  <c r="L137" i="244"/>
  <c r="N137" i="244"/>
  <c r="O137" i="244"/>
  <c r="S122" i="244"/>
  <c r="L122" i="244"/>
  <c r="N122" i="244"/>
  <c r="O122" i="244"/>
  <c r="O104" i="244"/>
  <c r="N104" i="244"/>
  <c r="L104" i="244"/>
  <c r="N86" i="244"/>
  <c r="AA86" i="244"/>
  <c r="L86" i="244"/>
  <c r="P27" i="221"/>
  <c r="N27" i="221"/>
  <c r="M11" i="221"/>
  <c r="M27" i="221" s="1"/>
  <c r="O27" i="221"/>
  <c r="Q14" i="244"/>
  <c r="Y14" i="244"/>
  <c r="AD14" i="244"/>
  <c r="AC14" i="244"/>
  <c r="S14" i="244"/>
  <c r="AA14" i="244"/>
  <c r="U14" i="244"/>
  <c r="AF14" i="244"/>
  <c r="AB14" i="244"/>
  <c r="AH14" i="244"/>
  <c r="P14" i="244"/>
  <c r="V14" i="244"/>
  <c r="AB137" i="244"/>
  <c r="U137" i="244"/>
  <c r="S137" i="244"/>
  <c r="Y137" i="244"/>
  <c r="AH137" i="244"/>
  <c r="AF137" i="244"/>
  <c r="AA153" i="244"/>
  <c r="AF153" i="244"/>
  <c r="AA104" i="244"/>
  <c r="S104" i="244"/>
  <c r="Y104" i="244"/>
  <c r="AF104" i="244"/>
  <c r="AB104" i="244"/>
  <c r="AH104" i="244"/>
  <c r="R12" i="229"/>
  <c r="V137" i="244"/>
  <c r="M20" i="221"/>
  <c r="V12" i="229"/>
  <c r="V104" i="244"/>
  <c r="Z12" i="229"/>
  <c r="AK22" i="218"/>
  <c r="AL22" i="218"/>
  <c r="AM22" i="218"/>
  <c r="Z12" i="232"/>
  <c r="U122" i="244"/>
  <c r="AA122" i="244"/>
  <c r="AM21" i="218"/>
  <c r="AN23" i="218"/>
  <c r="AK23" i="218"/>
  <c r="V12" i="233"/>
  <c r="AM23" i="218"/>
  <c r="M21" i="221"/>
  <c r="Z12" i="233"/>
  <c r="R12" i="233"/>
  <c r="V153" i="244"/>
  <c r="S86" i="244"/>
  <c r="AK21" i="218"/>
  <c r="AN21" i="218"/>
  <c r="V12" i="232"/>
  <c r="R12" i="232"/>
  <c r="M19" i="221"/>
  <c r="AL21" i="218"/>
  <c r="V122" i="244"/>
  <c r="Y122" i="244"/>
  <c r="AF122" i="244"/>
  <c r="AB122" i="244"/>
  <c r="U104" i="244"/>
  <c r="U153" i="244"/>
  <c r="AH153" i="244"/>
  <c r="Y153" i="244"/>
  <c r="S153" i="244"/>
  <c r="AH122" i="244"/>
  <c r="Y86" i="244"/>
  <c r="AB86" i="244"/>
  <c r="AH86" i="244"/>
  <c r="V86" i="244"/>
  <c r="U86" i="244"/>
  <c r="AF86" i="244"/>
  <c r="AB6" i="244"/>
  <c r="O6" i="244"/>
  <c r="AI46" i="209" l="1"/>
  <c r="N29" i="221"/>
  <c r="AI48" i="209"/>
  <c r="AK33" i="218"/>
  <c r="AA34" i="218" s="1"/>
  <c r="P29" i="221"/>
  <c r="O32" i="221"/>
  <c r="N32" i="221"/>
  <c r="M32" i="221"/>
  <c r="X44" i="220" s="1"/>
  <c r="AI49" i="209"/>
  <c r="AI44" i="209"/>
  <c r="O29" i="221"/>
  <c r="O31" i="221" s="1"/>
  <c r="P32" i="221"/>
  <c r="Y39" i="208" s="1"/>
  <c r="M29" i="221"/>
  <c r="AI43" i="209"/>
  <c r="AI50" i="209"/>
  <c r="AI53" i="209"/>
  <c r="AL53" i="209"/>
  <c r="AD36" i="208"/>
  <c r="Y36" i="208"/>
  <c r="T36" i="208"/>
  <c r="Y35" i="207" l="1"/>
  <c r="Y36" i="207" s="1"/>
  <c r="P31" i="221"/>
  <c r="AL55" i="209"/>
  <c r="N31" i="221"/>
  <c r="AI55" i="209"/>
  <c r="M31" i="221"/>
  <c r="A5" i="209"/>
  <c r="A5" i="230"/>
  <c r="T35" i="207"/>
  <c r="T36" i="207" s="1"/>
  <c r="T35" i="208"/>
  <c r="Y35" i="208"/>
  <c r="A5" i="226"/>
  <c r="A5" i="217"/>
  <c r="A5" i="215"/>
  <c r="A5" i="234"/>
  <c r="A5" i="235"/>
  <c r="A5" i="216"/>
  <c r="A5" i="213"/>
  <c r="A5" i="227"/>
  <c r="A5" i="219"/>
  <c r="A5" i="231"/>
  <c r="A5" i="225"/>
  <c r="A5" i="218"/>
  <c r="A5" i="208"/>
  <c r="A5" i="214"/>
  <c r="A5" i="220"/>
  <c r="A5" i="229"/>
  <c r="A5" i="237"/>
  <c r="A5" i="232"/>
  <c r="A5" i="240"/>
  <c r="A5" i="233"/>
  <c r="A5" i="242"/>
  <c r="A5" i="243"/>
  <c r="A5" i="207"/>
  <c r="A5" i="212"/>
  <c r="AD39" i="208"/>
  <c r="A5" i="236"/>
  <c r="Z36" i="220"/>
  <c r="AD35" i="208"/>
  <c r="AD35" i="207"/>
  <c r="AD36" i="207" s="1"/>
  <c r="D211" i="221" l="1"/>
  <c r="T38" i="208" l="1"/>
  <c r="T39" i="208" s="1"/>
  <c r="AL56" i="209"/>
  <c r="AL58" i="209" s="1"/>
  <c r="I24" i="221"/>
  <c r="I32" i="221" s="1"/>
  <c r="S182" i="244"/>
  <c r="BA54" i="220" l="1"/>
  <c r="BA55" i="220" s="1"/>
  <c r="J57" i="220"/>
  <c r="T32" i="221"/>
  <c r="H2" i="221" s="1"/>
  <c r="H1" i="221"/>
  <c r="K36" i="220" s="1"/>
  <c r="I30" i="221"/>
  <c r="H24" i="221"/>
  <c r="AO58" i="209" l="1"/>
  <c r="AI58" i="209"/>
  <c r="M63" i="220"/>
  <c r="AE63" i="220"/>
  <c r="V63" i="220"/>
  <c r="AD29" i="220"/>
  <c r="H32" i="221"/>
  <c r="H3" i="221" s="1"/>
  <c r="H30" i="221"/>
  <c r="C215" i="221" s="1"/>
  <c r="C211" i="221" s="1"/>
  <c r="E211" i="221" s="1"/>
  <c r="T30" i="221"/>
  <c r="AQ8" i="225" l="1"/>
  <c r="AQ8" i="217"/>
  <c r="AQ8" i="215"/>
  <c r="AQ8" i="216"/>
  <c r="AQ8" i="220"/>
  <c r="AQ8" i="229"/>
  <c r="AQ8" i="212"/>
  <c r="AQ8" i="234"/>
  <c r="AQ8" i="237"/>
  <c r="AQ8" i="208"/>
  <c r="AQ8" i="242"/>
  <c r="AQ8" i="218"/>
  <c r="AQ8" i="219"/>
  <c r="AQ8" i="240"/>
  <c r="AQ8" i="233"/>
  <c r="AQ8" i="230"/>
  <c r="AQ8" i="213"/>
  <c r="AQ8" i="236"/>
  <c r="AQ8" i="226"/>
  <c r="AQ8" i="207"/>
  <c r="AQ8" i="227"/>
  <c r="AQ8" i="232"/>
  <c r="AQ8" i="209"/>
  <c r="AQ8" i="235"/>
  <c r="AQ8" i="243"/>
  <c r="AQ8" i="214"/>
  <c r="AQ8" i="231"/>
  <c r="R20" i="209"/>
  <c r="AL16" i="218"/>
  <c r="D222" i="221"/>
  <c r="D221" i="221"/>
  <c r="D220" i="221"/>
  <c r="D223" i="221"/>
  <c r="D224" i="221"/>
  <c r="D225" i="221"/>
  <c r="X46" i="220"/>
  <c r="O46" i="220"/>
  <c r="O48" i="220"/>
  <c r="X48" i="220"/>
  <c r="C218" i="221" l="1"/>
  <c r="D218" i="221"/>
  <c r="E218" i="221" l="1"/>
  <c r="AE12" i="235" s="1"/>
  <c r="H4" i="221"/>
  <c r="AQ5" i="216" s="1"/>
  <c r="S4" i="244"/>
  <c r="AQ5" i="212" l="1"/>
  <c r="AQ5" i="225"/>
  <c r="AQ5" i="214"/>
  <c r="AQ5" i="231"/>
  <c r="AQ5" i="227"/>
  <c r="AQ5" i="237"/>
  <c r="AQ5" i="209"/>
  <c r="AQ5" i="207"/>
  <c r="AQ5" i="215"/>
  <c r="AQ5" i="236"/>
  <c r="AQ5" i="213"/>
  <c r="AQ5" i="208"/>
  <c r="AQ5" i="226"/>
  <c r="AQ5" i="243"/>
  <c r="AQ5" i="242"/>
  <c r="AQ5" i="233"/>
  <c r="AQ5" i="240"/>
  <c r="AQ5" i="232"/>
  <c r="AQ5" i="218"/>
  <c r="AQ5" i="235"/>
  <c r="AQ5" i="230"/>
  <c r="AQ5" i="234"/>
  <c r="AQ5" i="219"/>
  <c r="AQ5" i="217"/>
  <c r="AQ5" i="229"/>
  <c r="AQ5" i="220"/>
  <c r="Q4" i="244"/>
  <c r="AI42" i="209" s="1"/>
  <c r="AI40" i="209"/>
  <c r="P4" i="244"/>
  <c r="V4" i="244"/>
  <c r="AI39" i="209" s="1"/>
  <c r="U4" i="244"/>
  <c r="AI41" i="209" s="1"/>
  <c r="G20" i="209" l="1"/>
  <c r="B1" i="221"/>
  <c r="BN2" i="2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Sizemore, Taylor M (US)</author>
  </authors>
  <commentList>
    <comment ref="L24" authorId="0" shapeId="0" xr:uid="{60BC187B-E054-4AD1-A138-C9F5D8B45298}">
      <text>
        <r>
          <rPr>
            <b/>
            <sz val="9"/>
            <color indexed="81"/>
            <rFont val="Tahoma"/>
            <family val="2"/>
          </rPr>
          <t>Sizemore, Taylor M (US):</t>
        </r>
        <r>
          <rPr>
            <sz val="9"/>
            <color indexed="81"/>
            <rFont val="Tahoma"/>
            <family val="2"/>
          </rPr>
          <t xml:space="preserve">
Set this equal to total cost</t>
        </r>
      </text>
    </comment>
    <comment ref="S26" authorId="0" shapeId="0" xr:uid="{B8F02CD6-DFAC-429D-957E-6316D0B382DD}">
      <text>
        <r>
          <rPr>
            <b/>
            <sz val="9"/>
            <color indexed="81"/>
            <rFont val="Tahoma"/>
            <family val="2"/>
          </rPr>
          <t>Sizemore, Taylor M (US):</t>
        </r>
        <r>
          <rPr>
            <sz val="9"/>
            <color indexed="81"/>
            <rFont val="Tahoma"/>
            <family val="2"/>
          </rPr>
          <t xml:space="preserve">
Using incremental cost for CB and Payback</t>
        </r>
      </text>
    </comment>
    <comment ref="S31" authorId="0" shapeId="0" xr:uid="{977B398C-F284-42AD-A155-23B9A9C1B927}">
      <text>
        <r>
          <rPr>
            <b/>
            <sz val="9"/>
            <color indexed="81"/>
            <rFont val="Tahoma"/>
            <family val="2"/>
          </rPr>
          <t>Sizemore, Taylor M (US):</t>
        </r>
        <r>
          <rPr>
            <sz val="9"/>
            <color indexed="81"/>
            <rFont val="Tahoma"/>
            <family val="2"/>
          </rPr>
          <t xml:space="preserve">
This is the project level CB and Payback that we are looking at for the project to pass. It includes lighting and custom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Sizemore, Taylor M (US)</author>
  </authors>
  <commentList>
    <comment ref="DR2" authorId="0" shapeId="0" xr:uid="{12623EE7-763A-4143-8EB0-A178F8B60A7E}">
      <text>
        <r>
          <rPr>
            <b/>
            <sz val="9"/>
            <color indexed="81"/>
            <rFont val="Tahoma"/>
            <family val="2"/>
          </rPr>
          <t>Sizemore, Taylor M (US):</t>
        </r>
        <r>
          <rPr>
            <sz val="9"/>
            <color indexed="81"/>
            <rFont val="Tahoma"/>
            <family val="2"/>
          </rPr>
          <t xml:space="preserve">
Captures dropdown is different from NC space types. Could create table for equivalent types but would also like to upload space type somewhere</t>
        </r>
      </text>
    </comment>
    <comment ref="AJ182" authorId="0" shapeId="0" xr:uid="{FBA3D0BD-A8B6-4CF6-9FE9-86D248579CB6}">
      <text>
        <r>
          <rPr>
            <b/>
            <sz val="9"/>
            <color indexed="81"/>
            <rFont val="Tahoma"/>
            <family val="2"/>
          </rPr>
          <t>Sizemore, Taylor M (US):</t>
        </r>
        <r>
          <rPr>
            <sz val="9"/>
            <color indexed="81"/>
            <rFont val="Tahoma"/>
            <family val="2"/>
          </rPr>
          <t xml:space="preserve">
Should we use the baseline entered into the meausre/from the model or should we subtract out the savings from the rest of the measure baselines to calculate this baseline?
same for efficient
could be an issue with standard measures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Cheek, Taylor</author>
  </authors>
  <commentList>
    <comment ref="Y21" authorId="0" shapeId="0" xr:uid="{3304DAF9-6AE0-4FCA-B6B6-4B00C39E627D}">
      <text>
        <r>
          <rPr>
            <b/>
            <sz val="9"/>
            <color indexed="81"/>
            <rFont val="Tahoma"/>
            <family val="2"/>
          </rPr>
          <t>Cheek, Taylor:</t>
        </r>
        <r>
          <rPr>
            <sz val="9"/>
            <color indexed="81"/>
            <rFont val="Tahoma"/>
            <family val="2"/>
          </rPr>
          <t xml:space="preserve">
Not Used</t>
        </r>
      </text>
    </comment>
    <comment ref="Z21" authorId="0" shapeId="0" xr:uid="{DF08EF19-7163-488E-BBDE-00C61C77EA9D}">
      <text>
        <r>
          <rPr>
            <b/>
            <sz val="9"/>
            <color indexed="81"/>
            <rFont val="Tahoma"/>
            <family val="2"/>
          </rPr>
          <t>Cheek, Taylor:</t>
        </r>
        <r>
          <rPr>
            <sz val="9"/>
            <color indexed="81"/>
            <rFont val="Tahoma"/>
            <family val="2"/>
          </rPr>
          <t xml:space="preserve">
Not Used</t>
        </r>
      </text>
    </comment>
    <comment ref="AA21" authorId="0" shapeId="0" xr:uid="{444D3A2A-2A95-4CF7-B490-3A5AA0E9F381}">
      <text>
        <r>
          <rPr>
            <b/>
            <sz val="9"/>
            <color indexed="81"/>
            <rFont val="Tahoma"/>
            <family val="2"/>
          </rPr>
          <t>Cheek, Taylor:</t>
        </r>
        <r>
          <rPr>
            <sz val="9"/>
            <color indexed="81"/>
            <rFont val="Tahoma"/>
            <family val="2"/>
          </rPr>
          <t xml:space="preserve">
Not Used</t>
        </r>
      </text>
    </comment>
    <comment ref="AB21" authorId="0" shapeId="0" xr:uid="{D4CD8234-1999-4969-840B-D13FA65C276B}">
      <text>
        <r>
          <rPr>
            <b/>
            <sz val="9"/>
            <color indexed="81"/>
            <rFont val="Tahoma"/>
            <family val="2"/>
          </rPr>
          <t>Cheek, Taylor:</t>
        </r>
        <r>
          <rPr>
            <sz val="9"/>
            <color indexed="81"/>
            <rFont val="Tahoma"/>
            <family val="2"/>
          </rPr>
          <t xml:space="preserve">
Used in Calculated kWh.</t>
        </r>
      </text>
    </comment>
    <comment ref="AC21" authorId="0" shapeId="0" xr:uid="{5CABBD64-9763-4A28-A695-00E8F123830A}">
      <text>
        <r>
          <rPr>
            <b/>
            <sz val="9"/>
            <color indexed="81"/>
            <rFont val="Tahoma"/>
            <family val="2"/>
          </rPr>
          <t>Cheek, Taylor:</t>
        </r>
        <r>
          <rPr>
            <sz val="9"/>
            <color indexed="81"/>
            <rFont val="Tahoma"/>
            <family val="2"/>
          </rPr>
          <t xml:space="preserve">
Source of Other Efficiency Rating</t>
        </r>
      </text>
    </comment>
    <comment ref="AD21" authorId="0" shapeId="0" xr:uid="{F668C5B5-3029-424D-995A-8A0C6E4B2BA6}">
      <text>
        <r>
          <rPr>
            <b/>
            <sz val="9"/>
            <color indexed="81"/>
            <rFont val="Tahoma"/>
            <family val="2"/>
          </rPr>
          <t>Cheek, Taylor:</t>
        </r>
        <r>
          <rPr>
            <sz val="9"/>
            <color indexed="81"/>
            <rFont val="Tahoma"/>
            <family val="2"/>
          </rPr>
          <t xml:space="preserve">
Source of Other Efficiency Baseline.</t>
        </r>
      </text>
    </comment>
    <comment ref="AK21" authorId="0" shapeId="0" xr:uid="{0FF7D8E6-765F-431F-951C-DA3744592F24}">
      <text>
        <r>
          <rPr>
            <b/>
            <sz val="9"/>
            <color indexed="81"/>
            <rFont val="Tahoma"/>
            <family val="2"/>
          </rPr>
          <t>Cheek, Taylor:</t>
        </r>
        <r>
          <rPr>
            <sz val="9"/>
            <color indexed="81"/>
            <rFont val="Tahoma"/>
            <family val="2"/>
          </rPr>
          <t xml:space="preserve">
Source of Part Load Cooling Baseline</t>
        </r>
      </text>
    </comment>
    <comment ref="AN21" authorId="0" shapeId="0" xr:uid="{57EBA399-E3F7-43EA-AB14-72544CE7D453}">
      <text>
        <r>
          <rPr>
            <b/>
            <sz val="9"/>
            <color indexed="81"/>
            <rFont val="Tahoma"/>
            <family val="2"/>
          </rPr>
          <t>Cheek, Taylor:</t>
        </r>
        <r>
          <rPr>
            <sz val="9"/>
            <color indexed="81"/>
            <rFont val="Tahoma"/>
            <family val="2"/>
          </rPr>
          <t xml:space="preserve">
Source of Details efficiency unit</t>
        </r>
      </text>
    </comment>
    <comment ref="AO21" authorId="0" shapeId="0" xr:uid="{7B0B3A82-090E-4F16-A535-42957C70EE28}">
      <text>
        <r>
          <rPr>
            <b/>
            <sz val="9"/>
            <color indexed="81"/>
            <rFont val="Tahoma"/>
            <family val="2"/>
          </rPr>
          <t>Cheek, Taylor:</t>
        </r>
        <r>
          <rPr>
            <sz val="9"/>
            <color indexed="81"/>
            <rFont val="Tahoma"/>
            <family val="2"/>
          </rPr>
          <t xml:space="preserve">
Source of Details efficiency baseline.</t>
        </r>
      </text>
    </comment>
    <comment ref="H32" authorId="0" shapeId="0" xr:uid="{F21471BE-752C-4AA4-A8B3-20D98124B3CB}">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 ref="H61" authorId="0" shapeId="0" xr:uid="{D588565E-1965-4B41-8998-D49EB13EF623}">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 ref="H62" authorId="0" shapeId="0" xr:uid="{8878EEFC-D192-4474-93DA-8F49A343D121}">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<sst xmlns="http://schemas.openxmlformats.org/spreadsheetml/2006/main" count="7722" uniqueCount="2391">
  <si>
    <t>Program</t>
  </si>
  <si>
    <t>Menu Designation</t>
  </si>
  <si>
    <t>Menu Name</t>
  </si>
  <si>
    <t>Version</t>
  </si>
  <si>
    <t>Section Cost</t>
  </si>
  <si>
    <t>Terms &amp; Conditions</t>
  </si>
  <si>
    <t>Project Summary</t>
  </si>
  <si>
    <t>Application Expiration Date:</t>
  </si>
  <si>
    <t>City</t>
  </si>
  <si>
    <t>State</t>
  </si>
  <si>
    <t>Mailing Address</t>
  </si>
  <si>
    <t>Quantity</t>
  </si>
  <si>
    <t>Location</t>
  </si>
  <si>
    <t>Address</t>
  </si>
  <si>
    <t>Offer Form</t>
  </si>
  <si>
    <t>Completion Form</t>
  </si>
  <si>
    <t>Contact</t>
  </si>
  <si>
    <t>Zip</t>
  </si>
  <si>
    <t>Site Information</t>
  </si>
  <si>
    <t>Company</t>
  </si>
  <si>
    <t>Incentive</t>
  </si>
  <si>
    <t>Total</t>
  </si>
  <si>
    <t>Measure Number</t>
  </si>
  <si>
    <t>Measure Group</t>
  </si>
  <si>
    <t>Unit</t>
  </si>
  <si>
    <t>EUL</t>
  </si>
  <si>
    <t>Lighting</t>
  </si>
  <si>
    <t>HVAC</t>
  </si>
  <si>
    <t>Heat Pump</t>
  </si>
  <si>
    <t>Refrigeration</t>
  </si>
  <si>
    <t>Other</t>
  </si>
  <si>
    <t>Base Desc 1</t>
  </si>
  <si>
    <t>Eff Desc 1</t>
  </si>
  <si>
    <t>Change Log</t>
  </si>
  <si>
    <t>Changed By:</t>
  </si>
  <si>
    <t>Version:</t>
  </si>
  <si>
    <t>Date Applied</t>
  </si>
  <si>
    <t>Action Taken</t>
  </si>
  <si>
    <t>New Construction</t>
  </si>
  <si>
    <t>Year</t>
  </si>
  <si>
    <t>Avoided Capacity Cost $/kW</t>
  </si>
  <si>
    <t>Avoided T&amp;D $/kW</t>
  </si>
  <si>
    <t>Cost Benefit Data</t>
  </si>
  <si>
    <t>Electric and Gas Avoided Cost</t>
  </si>
  <si>
    <t>Electricity Losses</t>
  </si>
  <si>
    <t>Year Number</t>
  </si>
  <si>
    <t>Electricity Discount Rate</t>
  </si>
  <si>
    <t>NPV AEC $/kWh</t>
  </si>
  <si>
    <t>CB Ratio</t>
  </si>
  <si>
    <t>Process</t>
  </si>
  <si>
    <t>Custom</t>
  </si>
  <si>
    <t>Water Heating</t>
  </si>
  <si>
    <t>Inspection Form</t>
  </si>
  <si>
    <t>Email</t>
  </si>
  <si>
    <t>Total ALL</t>
  </si>
  <si>
    <t>kWh Status</t>
  </si>
  <si>
    <t>Incentive Status</t>
  </si>
  <si>
    <t>Building Type</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</si>
  <si>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</si>
  <si>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</si>
  <si>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</si>
  <si>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</si>
  <si>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</si>
  <si>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</si>
  <si>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</si>
  <si>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</si>
  <si>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</si>
  <si>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</si>
  <si>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</si>
  <si>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</si>
  <si>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</si>
  <si>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</si>
  <si>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</si>
  <si>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</si>
  <si>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</si>
  <si>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</si>
  <si>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</si>
  <si>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</si>
  <si>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</si>
  <si>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</si>
  <si>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</si>
  <si>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</si>
  <si>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</si>
  <si>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</si>
  <si>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</si>
  <si>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</si>
  <si>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</si>
  <si>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</si>
  <si>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</si>
  <si>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</si>
  <si>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</si>
  <si>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</si>
  <si>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</si>
  <si>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</si>
  <si>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</si>
  <si>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</si>
  <si>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</si>
  <si>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</si>
  <si>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</si>
  <si>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</si>
  <si>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</si>
  <si>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</si>
  <si>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</si>
  <si>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</si>
  <si>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</si>
  <si>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</si>
  <si>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</si>
  <si>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</si>
  <si>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</si>
  <si>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</si>
  <si>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</si>
  <si>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</si>
  <si>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</si>
  <si>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</si>
  <si>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</si>
  <si>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</si>
  <si>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</si>
  <si>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</si>
  <si>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</si>
  <si>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</si>
  <si>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</si>
  <si>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</si>
  <si>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</si>
  <si>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</si>
  <si>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</si>
  <si>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</si>
  <si>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</si>
  <si>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</si>
  <si>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</si>
  <si>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</si>
  <si>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</si>
  <si>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</si>
  <si>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</si>
  <si>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</si>
  <si>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</si>
  <si>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</si>
  <si>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</si>
  <si>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</si>
  <si>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</si>
  <si>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</si>
  <si>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</si>
  <si>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</si>
  <si>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</si>
  <si>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</si>
  <si>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</si>
  <si>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</si>
  <si>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</si>
  <si>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</si>
  <si>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</si>
  <si>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</si>
  <si>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</si>
  <si>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</si>
  <si>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</si>
  <si>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</si>
  <si>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</si>
  <si>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</si>
  <si>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</si>
  <si>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</si>
  <si>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</si>
  <si>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</si>
  <si>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</si>
  <si>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</si>
  <si>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AC with Natural Gas Heat</t>
  </si>
  <si>
    <t>AC with Electric Heat</t>
  </si>
  <si>
    <t>Electric Heat Only</t>
  </si>
  <si>
    <t>Natural Gas Heat Only</t>
  </si>
  <si>
    <t>Installer</t>
  </si>
  <si>
    <t>Phone</t>
  </si>
  <si>
    <t>First</t>
  </si>
  <si>
    <t>Last</t>
  </si>
  <si>
    <t>Site</t>
  </si>
  <si>
    <t>Terms</t>
  </si>
  <si>
    <t>Payment to</t>
  </si>
  <si>
    <t>Tax Entity</t>
  </si>
  <si>
    <t>Corporation</t>
  </si>
  <si>
    <t>Exempt</t>
  </si>
  <si>
    <t>LLC</t>
  </si>
  <si>
    <t>Partnership, LLP</t>
  </si>
  <si>
    <t>Project Status</t>
  </si>
  <si>
    <t>Progress</t>
  </si>
  <si>
    <t>Required</t>
  </si>
  <si>
    <t>Measure Data</t>
  </si>
  <si>
    <t>Progress Status</t>
  </si>
  <si>
    <t>Incentive Total</t>
  </si>
  <si>
    <t>Engineer</t>
  </si>
  <si>
    <t>Status</t>
  </si>
  <si>
    <t>Review Date</t>
  </si>
  <si>
    <t>Application Info</t>
  </si>
  <si>
    <t>City, State, Zip</t>
  </si>
  <si>
    <t>Project Description</t>
  </si>
  <si>
    <t>Project Cost</t>
  </si>
  <si>
    <t>Additional Information</t>
  </si>
  <si>
    <t>ProjectID</t>
  </si>
  <si>
    <t>UploadID</t>
  </si>
  <si>
    <t>Building Shell</t>
  </si>
  <si>
    <t>Miscellaneous</t>
  </si>
  <si>
    <t>End Use to Coincident Peak Demand Factors</t>
  </si>
  <si>
    <t>Factor</t>
  </si>
  <si>
    <t>Payback</t>
  </si>
  <si>
    <t>Peak T&amp;D Adj Factor</t>
  </si>
  <si>
    <t>Capacity Reserve Margin</t>
  </si>
  <si>
    <t>Equation</t>
  </si>
  <si>
    <t>Welcome</t>
  </si>
  <si>
    <t>Measure Subgroup 1</t>
  </si>
  <si>
    <t>Measure Subgroup 2</t>
  </si>
  <si>
    <t>Order</t>
  </si>
  <si>
    <t>Application Tab</t>
  </si>
  <si>
    <t>End Use Category</t>
  </si>
  <si>
    <t>Units</t>
  </si>
  <si>
    <t>PTAC Unit</t>
  </si>
  <si>
    <t>Demand Control Ventilation</t>
  </si>
  <si>
    <t>Air Cooled Chiller</t>
  </si>
  <si>
    <t>Water Cooled Chiller</t>
  </si>
  <si>
    <t>CRAC Unit</t>
  </si>
  <si>
    <t>Window Film</t>
  </si>
  <si>
    <t>Window Replacement</t>
  </si>
  <si>
    <t>Cooking / Water Heat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</si>
  <si>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</si>
  <si>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</si>
  <si>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</si>
  <si>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</si>
  <si>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</si>
  <si>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</si>
  <si>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</si>
  <si>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</si>
  <si>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</si>
  <si>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</si>
  <si>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</si>
  <si>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</si>
  <si>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</si>
  <si>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</si>
  <si>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</si>
  <si>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</si>
  <si>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</si>
  <si>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</si>
  <si>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Commercial Cooker</t>
  </si>
  <si>
    <t>Commercial Fryer</t>
  </si>
  <si>
    <t>Commercial Steamer</t>
  </si>
  <si>
    <t>Commercial Range Hood</t>
  </si>
  <si>
    <t>Commercial Refrigerator</t>
  </si>
  <si>
    <t>Commercial Freezer</t>
  </si>
  <si>
    <t>Packaged / Rooftop Unit</t>
  </si>
  <si>
    <t>VFD for Air Compressor</t>
  </si>
  <si>
    <t>Incremental</t>
  </si>
  <si>
    <t>Project Category</t>
  </si>
  <si>
    <t>Inc Rate</t>
  </si>
  <si>
    <t>Others</t>
  </si>
  <si>
    <t>Efficient Motor</t>
  </si>
  <si>
    <t>Efficient Pumps</t>
  </si>
  <si>
    <t>Cost Basis</t>
  </si>
  <si>
    <t>Spillover Text</t>
  </si>
  <si>
    <t>Spillover Reason</t>
  </si>
  <si>
    <t>Enter Measures</t>
  </si>
  <si>
    <t>No Savings</t>
  </si>
  <si>
    <t>Payback Too Fast, Submit for Review</t>
  </si>
  <si>
    <t>Not Cost Effective Submit for Review</t>
  </si>
  <si>
    <t>Submit for Review</t>
  </si>
  <si>
    <t>Rate Schedules</t>
  </si>
  <si>
    <t>Rate</t>
  </si>
  <si>
    <t>Please Review and Sign Form</t>
  </si>
  <si>
    <t>Measure Not Eligible</t>
  </si>
  <si>
    <t>Not Cost Effective</t>
  </si>
  <si>
    <t>Payback Under 18 Months</t>
  </si>
  <si>
    <t>Not Eligible</t>
  </si>
  <si>
    <t>System Text</t>
  </si>
  <si>
    <t>Corp</t>
  </si>
  <si>
    <t>Sole/Ind</t>
  </si>
  <si>
    <t>Partner</t>
  </si>
  <si>
    <t>Summary Form</t>
  </si>
  <si>
    <t>Standard Only No Pre-approval Required</t>
  </si>
  <si>
    <t>Pre-approval Required</t>
  </si>
  <si>
    <t>Equipment Cost</t>
  </si>
  <si>
    <t>Labor Cost</t>
  </si>
  <si>
    <t>Project</t>
  </si>
  <si>
    <t>Payment Preference</t>
  </si>
  <si>
    <t>Impl. Specialist</t>
  </si>
  <si>
    <t>Incentive Less Than $150</t>
  </si>
  <si>
    <t>X.0.0</t>
  </si>
  <si>
    <t>0.X.0</t>
  </si>
  <si>
    <t>0.0.X</t>
  </si>
  <si>
    <t>Versioning Guidelines (using the highest hierarchy in a group of changes)</t>
  </si>
  <si>
    <t>Chiller Control Optimization</t>
  </si>
  <si>
    <t>Advanced RTU Compressor Controller</t>
  </si>
  <si>
    <t>Total kWh</t>
  </si>
  <si>
    <t>Total kW</t>
  </si>
  <si>
    <t>VFD for Process Motor</t>
  </si>
  <si>
    <t>Eff. Wattage Not Met</t>
  </si>
  <si>
    <t>Linear Feet Exceeded</t>
  </si>
  <si>
    <t>Operating Hours Invalid</t>
  </si>
  <si>
    <t>Incentivized kWh</t>
  </si>
  <si>
    <t>Incentivized kW</t>
  </si>
  <si>
    <t>Incentivized Cost</t>
  </si>
  <si>
    <t>Business Development Lead</t>
  </si>
  <si>
    <t>Bus. Devel. Lead</t>
  </si>
  <si>
    <t>Engineers</t>
  </si>
  <si>
    <t>None</t>
  </si>
  <si>
    <t>Controls</t>
  </si>
  <si>
    <t>Unconditioned</t>
  </si>
  <si>
    <t>Not Eligible for BizSavers Program</t>
  </si>
  <si>
    <t>Industrial Ceiling Fan</t>
  </si>
  <si>
    <t>Baseline kWh</t>
  </si>
  <si>
    <t>No Code</t>
  </si>
  <si>
    <t>IECC 2009</t>
  </si>
  <si>
    <t>IECC 2012</t>
  </si>
  <si>
    <t>IECC 2015</t>
  </si>
  <si>
    <t>IECC 2003</t>
  </si>
  <si>
    <t>IECC 2006</t>
  </si>
  <si>
    <t>North Kansas City</t>
  </si>
  <si>
    <t>Sedalia</t>
  </si>
  <si>
    <t>Raytown</t>
  </si>
  <si>
    <t>Riverside</t>
  </si>
  <si>
    <t>Buckner</t>
  </si>
  <si>
    <t>Belton</t>
  </si>
  <si>
    <t>Smithville</t>
  </si>
  <si>
    <t>Warrensburg</t>
  </si>
  <si>
    <t>Gladstone</t>
  </si>
  <si>
    <t>Grandview</t>
  </si>
  <si>
    <t>ASHRAE 90.1 2007</t>
  </si>
  <si>
    <t>ASHRAE 90.1 2010</t>
  </si>
  <si>
    <t>ASHRAE 90.1 2013</t>
  </si>
  <si>
    <t>$/kWh</t>
  </si>
  <si>
    <t>Project Payback Too Fast</t>
  </si>
  <si>
    <t xml:space="preserve"> </t>
  </si>
  <si>
    <t>Yes</t>
  </si>
  <si>
    <t>Hotel/Motel</t>
  </si>
  <si>
    <t>School (Elementary)</t>
  </si>
  <si>
    <t>School (Middle/High)</t>
  </si>
  <si>
    <t>((1+ELOSS)*PEAKTD*(1+CAPRESERVE)*((KWH*NPVAEC)+(KW*NPVACCTD)))/PROJCOST</t>
  </si>
  <si>
    <t>Project Not Cost Effective</t>
  </si>
  <si>
    <t>ZIP Code</t>
  </si>
  <si>
    <t>Cities Dropdown</t>
  </si>
  <si>
    <t>NC City Code</t>
  </si>
  <si>
    <t>County</t>
  </si>
  <si>
    <t>NC County Code</t>
  </si>
  <si>
    <t>Amazonia</t>
  </si>
  <si>
    <t>Andrew</t>
  </si>
  <si>
    <t>x</t>
  </si>
  <si>
    <t>Adrian</t>
  </si>
  <si>
    <t>Bolckow</t>
  </si>
  <si>
    <t>Agency</t>
  </si>
  <si>
    <t>Cosby</t>
  </si>
  <si>
    <t>Albany</t>
  </si>
  <si>
    <t>Fillmore</t>
  </si>
  <si>
    <t>Allendale</t>
  </si>
  <si>
    <t>Helena</t>
  </si>
  <si>
    <t>Alma</t>
  </si>
  <si>
    <t>Rea</t>
  </si>
  <si>
    <t>Altamont</t>
  </si>
  <si>
    <t>Rosendale</t>
  </si>
  <si>
    <t>Savannah</t>
  </si>
  <si>
    <t>Amity</t>
  </si>
  <si>
    <t>Fairfax</t>
  </si>
  <si>
    <t>Atchison</t>
  </si>
  <si>
    <t>Amoret</t>
  </si>
  <si>
    <t>Langdon</t>
  </si>
  <si>
    <t>Amsterdam</t>
  </si>
  <si>
    <t>Rock Port</t>
  </si>
  <si>
    <t>Appleton City</t>
  </si>
  <si>
    <t>Tarkio</t>
  </si>
  <si>
    <t>Archie</t>
  </si>
  <si>
    <t>Watson</t>
  </si>
  <si>
    <t>Arcola</t>
  </si>
  <si>
    <t>Westboro</t>
  </si>
  <si>
    <t>Armstrong</t>
  </si>
  <si>
    <t>Asbury</t>
  </si>
  <si>
    <t>Barton</t>
  </si>
  <si>
    <t>Arrow Rock</t>
  </si>
  <si>
    <t>Golden City</t>
  </si>
  <si>
    <t>Iantha</t>
  </si>
  <si>
    <t>Aullville</t>
  </si>
  <si>
    <t>Irwin</t>
  </si>
  <si>
    <t>Austin</t>
  </si>
  <si>
    <t>Lamar</t>
  </si>
  <si>
    <t>Avalon</t>
  </si>
  <si>
    <t>Liberal</t>
  </si>
  <si>
    <t>Avondale</t>
  </si>
  <si>
    <t>Milford</t>
  </si>
  <si>
    <t>Bahner</t>
  </si>
  <si>
    <t>Mindenmines</t>
  </si>
  <si>
    <t>Barnard</t>
  </si>
  <si>
    <t>Bates</t>
  </si>
  <si>
    <t>Bates City</t>
  </si>
  <si>
    <t>Beaman</t>
  </si>
  <si>
    <t>Butler</t>
  </si>
  <si>
    <t>Bethany</t>
  </si>
  <si>
    <t>Drexel</t>
  </si>
  <si>
    <t>Bigelow</t>
  </si>
  <si>
    <t>Foster</t>
  </si>
  <si>
    <t>Birmingham</t>
  </si>
  <si>
    <t>Hume</t>
  </si>
  <si>
    <t>Blackburn</t>
  </si>
  <si>
    <t>Passaic</t>
  </si>
  <si>
    <t>Blairstown</t>
  </si>
  <si>
    <t>Prairie City</t>
  </si>
  <si>
    <t>Blue Springs</t>
  </si>
  <si>
    <t>Rich Hill</t>
  </si>
  <si>
    <t>Blythedale</t>
  </si>
  <si>
    <t>Rockville</t>
  </si>
  <si>
    <t>Bogard</t>
  </si>
  <si>
    <t>Stotesbury</t>
  </si>
  <si>
    <t>Taberville</t>
  </si>
  <si>
    <t>Boonesboro</t>
  </si>
  <si>
    <t>Cole Camp</t>
  </si>
  <si>
    <t>Benton</t>
  </si>
  <si>
    <t>Bosworth</t>
  </si>
  <si>
    <t>Edwards</t>
  </si>
  <si>
    <t>Brimson</t>
  </si>
  <si>
    <t>Fristoe</t>
  </si>
  <si>
    <t>Brunswick</t>
  </si>
  <si>
    <t>Hastain</t>
  </si>
  <si>
    <t>Ionia</t>
  </si>
  <si>
    <t>Burlington Junction</t>
  </si>
  <si>
    <t>Lakeview Heights</t>
  </si>
  <si>
    <t>Lincoln</t>
  </si>
  <si>
    <t>Bynumville</t>
  </si>
  <si>
    <t>Mount Hulda</t>
  </si>
  <si>
    <t>Cainsville</t>
  </si>
  <si>
    <t>Old Fredonia</t>
  </si>
  <si>
    <t>Cairo</t>
  </si>
  <si>
    <t>Palopinto</t>
  </si>
  <si>
    <t>Calhoun</t>
  </si>
  <si>
    <t>Racket</t>
  </si>
  <si>
    <t>Camden</t>
  </si>
  <si>
    <t>Sagrada</t>
  </si>
  <si>
    <t>Camden Point</t>
  </si>
  <si>
    <t>Warsaw</t>
  </si>
  <si>
    <t>Cameron</t>
  </si>
  <si>
    <t>Whitakerville</t>
  </si>
  <si>
    <t>Camp Clark</t>
  </si>
  <si>
    <t>Wisdom</t>
  </si>
  <si>
    <t>Caplinger Mills</t>
  </si>
  <si>
    <t>Buchanan</t>
  </si>
  <si>
    <t>Carrollton</t>
  </si>
  <si>
    <t>De Kalb</t>
  </si>
  <si>
    <t>Centerview</t>
  </si>
  <si>
    <t>Easton</t>
  </si>
  <si>
    <t>Chilhowee</t>
  </si>
  <si>
    <t>Faucett</t>
  </si>
  <si>
    <t>Chillicothe</t>
  </si>
  <si>
    <t>Rushville</t>
  </si>
  <si>
    <t>Chula</t>
  </si>
  <si>
    <t>Saint Joseph</t>
  </si>
  <si>
    <t>Clark</t>
  </si>
  <si>
    <t>Clarksdale</t>
  </si>
  <si>
    <t>Claycomo</t>
  </si>
  <si>
    <t>Clearmont</t>
  </si>
  <si>
    <t>Cleveland</t>
  </si>
  <si>
    <t>Clifton Hill</t>
  </si>
  <si>
    <t>Clinton</t>
  </si>
  <si>
    <t>Clyde</t>
  </si>
  <si>
    <t>Taos</t>
  </si>
  <si>
    <t>Coffey</t>
  </si>
  <si>
    <t>Winthrop</t>
  </si>
  <si>
    <t>Carroll</t>
  </si>
  <si>
    <t>Collins</t>
  </si>
  <si>
    <t>Conception</t>
  </si>
  <si>
    <t>Conception Junction</t>
  </si>
  <si>
    <t>De Witt</t>
  </si>
  <si>
    <t>Concordia</t>
  </si>
  <si>
    <t>Hale</t>
  </si>
  <si>
    <t>Corder</t>
  </si>
  <si>
    <t>Norborne</t>
  </si>
  <si>
    <t>Corning</t>
  </si>
  <si>
    <t>Stet</t>
  </si>
  <si>
    <t>Tina</t>
  </si>
  <si>
    <t>Craig</t>
  </si>
  <si>
    <t>Wakenda</t>
  </si>
  <si>
    <t>Creighton</t>
  </si>
  <si>
    <t>Cass</t>
  </si>
  <si>
    <t>Cretcher</t>
  </si>
  <si>
    <t>Crystal Lakes</t>
  </si>
  <si>
    <t>Dadeville</t>
  </si>
  <si>
    <t>East Lynne</t>
  </si>
  <si>
    <t>Dalton</t>
  </si>
  <si>
    <t>Freeman</t>
  </si>
  <si>
    <t>Damascus</t>
  </si>
  <si>
    <t>Garden City</t>
  </si>
  <si>
    <t>Darksville</t>
  </si>
  <si>
    <t>Gunn City</t>
  </si>
  <si>
    <t>Darlington</t>
  </si>
  <si>
    <t>Harrisonville</t>
  </si>
  <si>
    <t>Dawn</t>
  </si>
  <si>
    <t>Lake Annette</t>
  </si>
  <si>
    <t>Latour</t>
  </si>
  <si>
    <t>Peculiar</t>
  </si>
  <si>
    <t>Dearborn</t>
  </si>
  <si>
    <t>Pleasant Hill</t>
  </si>
  <si>
    <t>Deepwater</t>
  </si>
  <si>
    <t>Raymore</t>
  </si>
  <si>
    <t>Deerfield</t>
  </si>
  <si>
    <t>Denver</t>
  </si>
  <si>
    <t>Strasburg</t>
  </si>
  <si>
    <t>Dover</t>
  </si>
  <si>
    <t>West Line</t>
  </si>
  <si>
    <t>Dresden</t>
  </si>
  <si>
    <t>Cedar</t>
  </si>
  <si>
    <t>El Dorado Springs</t>
  </si>
  <si>
    <t>Dunksburg</t>
  </si>
  <si>
    <t>Jerico Springs</t>
  </si>
  <si>
    <t>Eagleville</t>
  </si>
  <si>
    <t>Stockton</t>
  </si>
  <si>
    <t>Chariton</t>
  </si>
  <si>
    <t>Edgerton</t>
  </si>
  <si>
    <t>Forest Green</t>
  </si>
  <si>
    <t>Indian Grove</t>
  </si>
  <si>
    <t>Elmira</t>
  </si>
  <si>
    <t>Keytesville</t>
  </si>
  <si>
    <t>Elmo</t>
  </si>
  <si>
    <t>Mendon</t>
  </si>
  <si>
    <t>Elmwood</t>
  </si>
  <si>
    <t>Musselfork</t>
  </si>
  <si>
    <t>Emma</t>
  </si>
  <si>
    <t>Prairie Hill</t>
  </si>
  <si>
    <t>Ernestville</t>
  </si>
  <si>
    <t>Rothville</t>
  </si>
  <si>
    <t>Estill</t>
  </si>
  <si>
    <t>Salisbury</t>
  </si>
  <si>
    <t>Everton</t>
  </si>
  <si>
    <t>Snyder</t>
  </si>
  <si>
    <t>Excelsior Estates</t>
  </si>
  <si>
    <t>Sumner</t>
  </si>
  <si>
    <t>Excelsior Springs</t>
  </si>
  <si>
    <t>Triplett</t>
  </si>
  <si>
    <t>Clay</t>
  </si>
  <si>
    <t>Fairport</t>
  </si>
  <si>
    <t>Farley</t>
  </si>
  <si>
    <t>Fayette</t>
  </si>
  <si>
    <t>Ferrelview</t>
  </si>
  <si>
    <t>Holt</t>
  </si>
  <si>
    <t>Forest City</t>
  </si>
  <si>
    <t>Homestead Village</t>
  </si>
  <si>
    <t>Kearney</t>
  </si>
  <si>
    <t>Fort Osage</t>
  </si>
  <si>
    <t>Liberty</t>
  </si>
  <si>
    <t>Fortescue</t>
  </si>
  <si>
    <t>Missouri City</t>
  </si>
  <si>
    <t>Franklin</t>
  </si>
  <si>
    <t>Mosby</t>
  </si>
  <si>
    <t>Oakview</t>
  </si>
  <si>
    <t>Paradise</t>
  </si>
  <si>
    <t>Gallatin</t>
  </si>
  <si>
    <t>Pleasant Valley</t>
  </si>
  <si>
    <t>Randolph</t>
  </si>
  <si>
    <t>Gentry</t>
  </si>
  <si>
    <t>Gentryville</t>
  </si>
  <si>
    <t>Georgetown</t>
  </si>
  <si>
    <t>Gilliam</t>
  </si>
  <si>
    <t>Gilman City</t>
  </si>
  <si>
    <t>Glasgow</t>
  </si>
  <si>
    <t>Gower</t>
  </si>
  <si>
    <t>Kansas City</t>
  </si>
  <si>
    <t>Graham</t>
  </si>
  <si>
    <t>Grain Valley</t>
  </si>
  <si>
    <t>Grand Pass</t>
  </si>
  <si>
    <t>Grant City</t>
  </si>
  <si>
    <t>Green Ridge</t>
  </si>
  <si>
    <t>Greenfield</t>
  </si>
  <si>
    <t>Greenwood</t>
  </si>
  <si>
    <t>Guilford</t>
  </si>
  <si>
    <t>Hardin</t>
  </si>
  <si>
    <t>Hartwell</t>
  </si>
  <si>
    <t>Harwood</t>
  </si>
  <si>
    <t>Village of Oakview</t>
  </si>
  <si>
    <t>Hatfield</t>
  </si>
  <si>
    <t>Hemple</t>
  </si>
  <si>
    <t>Wood Heights</t>
  </si>
  <si>
    <t>Henrietta</t>
  </si>
  <si>
    <t>Higbee</t>
  </si>
  <si>
    <t>Higginsville</t>
  </si>
  <si>
    <t>Lathrop</t>
  </si>
  <si>
    <t>Holden</t>
  </si>
  <si>
    <t>Plattsburg</t>
  </si>
  <si>
    <t>Trimble</t>
  </si>
  <si>
    <t>Turney</t>
  </si>
  <si>
    <t>Hopkins</t>
  </si>
  <si>
    <t>Dade</t>
  </si>
  <si>
    <t>Horton</t>
  </si>
  <si>
    <t>Houston Lake</t>
  </si>
  <si>
    <t>Houstonia</t>
  </si>
  <si>
    <t>Hughesville</t>
  </si>
  <si>
    <t>Lockwood</t>
  </si>
  <si>
    <t>South Greenfield</t>
  </si>
  <si>
    <t>Huntsville</t>
  </si>
  <si>
    <t>Daviess</t>
  </si>
  <si>
    <t>Independence</t>
  </si>
  <si>
    <t>Jameson</t>
  </si>
  <si>
    <t>Jamesport</t>
  </si>
  <si>
    <t>Lake Viking</t>
  </si>
  <si>
    <t>Jacksonville</t>
  </si>
  <si>
    <t>Lock Springs</t>
  </si>
  <si>
    <t>Pattonsburg</t>
  </si>
  <si>
    <t>Winston</t>
  </si>
  <si>
    <t>Dekalb</t>
  </si>
  <si>
    <t>Maysville</t>
  </si>
  <si>
    <t>King City</t>
  </si>
  <si>
    <t>Osborn</t>
  </si>
  <si>
    <t>Kingsville</t>
  </si>
  <si>
    <t>Stewartsville</t>
  </si>
  <si>
    <t>Knob Noster</t>
  </si>
  <si>
    <t>Union Star</t>
  </si>
  <si>
    <t>La Monte</t>
  </si>
  <si>
    <t>Weatherby</t>
  </si>
  <si>
    <t>Lake Lafayette</t>
  </si>
  <si>
    <t>Lake Lotawana</t>
  </si>
  <si>
    <t>Lake Tapawingo</t>
  </si>
  <si>
    <t>Lake Waukomis</t>
  </si>
  <si>
    <t>Mc Fall</t>
  </si>
  <si>
    <t>Lake Winnebago</t>
  </si>
  <si>
    <t>McFall</t>
  </si>
  <si>
    <t>Stanberry</t>
  </si>
  <si>
    <t>Laredo</t>
  </si>
  <si>
    <t>Grundy</t>
  </si>
  <si>
    <t>Spickard</t>
  </si>
  <si>
    <t>Trenton</t>
  </si>
  <si>
    <t>Harrison</t>
  </si>
  <si>
    <t>Lawson</t>
  </si>
  <si>
    <t>Lees Summit</t>
  </si>
  <si>
    <t>Leeton</t>
  </si>
  <si>
    <t>Levasy</t>
  </si>
  <si>
    <t>Lewis Station</t>
  </si>
  <si>
    <t>Lexington</t>
  </si>
  <si>
    <t>Martinsville</t>
  </si>
  <si>
    <t>Mount Moriah</t>
  </si>
  <si>
    <t>New Hampton</t>
  </si>
  <si>
    <t>Ridgeway</t>
  </si>
  <si>
    <t>Henry</t>
  </si>
  <si>
    <t>Lone Jack</t>
  </si>
  <si>
    <t>Longwood</t>
  </si>
  <si>
    <t>Lowry City</t>
  </si>
  <si>
    <t>Ludlow</t>
  </si>
  <si>
    <t>Maitland</t>
  </si>
  <si>
    <t>Malta Bend</t>
  </si>
  <si>
    <t>Montrose</t>
  </si>
  <si>
    <t>Marshall</t>
  </si>
  <si>
    <t>Tightwad</t>
  </si>
  <si>
    <t>Marshall Junction</t>
  </si>
  <si>
    <t>Urich</t>
  </si>
  <si>
    <t>Martin City</t>
  </si>
  <si>
    <t>Windsor</t>
  </si>
  <si>
    <t>Maryville</t>
  </si>
  <si>
    <t>Mayview</t>
  </si>
  <si>
    <t>Mound City</t>
  </si>
  <si>
    <t>Mercer</t>
  </si>
  <si>
    <t>Metz</t>
  </si>
  <si>
    <t>Howard</t>
  </si>
  <si>
    <t>Miami</t>
  </si>
  <si>
    <t>Milo</t>
  </si>
  <si>
    <t>Moberly</t>
  </si>
  <si>
    <t>New Franklin</t>
  </si>
  <si>
    <t>Petersburg</t>
  </si>
  <si>
    <t>Montserrat</t>
  </si>
  <si>
    <t>Roanoke</t>
  </si>
  <si>
    <t>Mooresville</t>
  </si>
  <si>
    <t>Jackson</t>
  </si>
  <si>
    <t>Mora</t>
  </si>
  <si>
    <t>Moundville</t>
  </si>
  <si>
    <t>Napoleon</t>
  </si>
  <si>
    <t>Napton</t>
  </si>
  <si>
    <t>Nelson</t>
  </si>
  <si>
    <t>Oak Grove</t>
  </si>
  <si>
    <t>Odessa</t>
  </si>
  <si>
    <t>Orrick</t>
  </si>
  <si>
    <t>Osceola</t>
  </si>
  <si>
    <t>Parkville</t>
  </si>
  <si>
    <t>Parnell</t>
  </si>
  <si>
    <t>Sibley</t>
  </si>
  <si>
    <t>Sugar Creek</t>
  </si>
  <si>
    <t>Pickering</t>
  </si>
  <si>
    <t>Platte City</t>
  </si>
  <si>
    <t>Unity Village</t>
  </si>
  <si>
    <t>Platte Woods</t>
  </si>
  <si>
    <t>Princeton</t>
  </si>
  <si>
    <t>Quitman</t>
  </si>
  <si>
    <t>Ravenwood</t>
  </si>
  <si>
    <t>Rayville</t>
  </si>
  <si>
    <t>Renick</t>
  </si>
  <si>
    <t>Richards</t>
  </si>
  <si>
    <t>Richmond</t>
  </si>
  <si>
    <t>Roscoe</t>
  </si>
  <si>
    <t>Rucker</t>
  </si>
  <si>
    <t>Saline City</t>
  </si>
  <si>
    <t>Salt Pond</t>
  </si>
  <si>
    <t>Schell City</t>
  </si>
  <si>
    <t>Sharon</t>
  </si>
  <si>
    <t>Sheldon</t>
  </si>
  <si>
    <t>Sheridan</t>
  </si>
  <si>
    <t>Skidmore</t>
  </si>
  <si>
    <t>Slater</t>
  </si>
  <si>
    <t>Smithton</t>
  </si>
  <si>
    <t>Springfork</t>
  </si>
  <si>
    <t>Sweet Springs</t>
  </si>
  <si>
    <t>Thomas Hill</t>
  </si>
  <si>
    <t>Johnson</t>
  </si>
  <si>
    <t>Tracy</t>
  </si>
  <si>
    <t>Valley City</t>
  </si>
  <si>
    <t>Urbandale</t>
  </si>
  <si>
    <t>Whiteman Air Force Base</t>
  </si>
  <si>
    <t>Utica</t>
  </si>
  <si>
    <t>Lafayette</t>
  </si>
  <si>
    <t>Vista</t>
  </si>
  <si>
    <t>Waldron</t>
  </si>
  <si>
    <t>Walker</t>
  </si>
  <si>
    <t>Waverly</t>
  </si>
  <si>
    <t>Weatherby Lake</t>
  </si>
  <si>
    <t>Wellington</t>
  </si>
  <si>
    <t>Weston</t>
  </si>
  <si>
    <t>Livingston</t>
  </si>
  <si>
    <t>Wheeling</t>
  </si>
  <si>
    <t>Worth</t>
  </si>
  <si>
    <t>Yates</t>
  </si>
  <si>
    <t>Nodaway</t>
  </si>
  <si>
    <t>Pettis</t>
  </si>
  <si>
    <t>Platte</t>
  </si>
  <si>
    <t>Ray</t>
  </si>
  <si>
    <t>Saint Clair</t>
  </si>
  <si>
    <t>Saline</t>
  </si>
  <si>
    <t>Vernon</t>
  </si>
  <si>
    <t>Project Address:</t>
  </si>
  <si>
    <t>Contact:</t>
  </si>
  <si>
    <t>Phone:</t>
  </si>
  <si>
    <t>Over 5 years you could save</t>
  </si>
  <si>
    <t>Impact Summary</t>
  </si>
  <si>
    <t>Additional Resources</t>
  </si>
  <si>
    <t>Online:</t>
  </si>
  <si>
    <t>Email:</t>
  </si>
  <si>
    <t>kWh Savings</t>
  </si>
  <si>
    <t>Learn more online or contact 
a program representative today!</t>
  </si>
  <si>
    <t>metric tons CO2/kWh</t>
  </si>
  <si>
    <t>metric tons CO2</t>
  </si>
  <si>
    <t>metric tons C02E/vehicle/year</t>
  </si>
  <si>
    <t>metric tons CO2E/ton of waste recycled instead of landfilled</t>
  </si>
  <si>
    <t>metric tons CO2/home/month.</t>
  </si>
  <si>
    <t>Already planning future projects?</t>
  </si>
  <si>
    <t>Unit of Measure</t>
  </si>
  <si>
    <t>Ton</t>
  </si>
  <si>
    <t>1000 Sq. Ft. Cond. Space</t>
  </si>
  <si>
    <t>HP</t>
  </si>
  <si>
    <t>Cu. Ft.</t>
  </si>
  <si>
    <t>1000 Sq. Ft. of Insulation</t>
  </si>
  <si>
    <t>100 Sq. Ft. of Window</t>
  </si>
  <si>
    <r>
      <t>1</t>
    </r>
    <r>
      <rPr>
        <vertAlign val="superscript"/>
        <sz val="14"/>
        <rFont val="Arial"/>
        <family val="2"/>
      </rPr>
      <t>st</t>
    </r>
    <r>
      <rPr>
        <sz val="14"/>
        <rFont val="Arial"/>
        <family val="2"/>
      </rPr>
      <t xml:space="preserve"> Year ROI</t>
    </r>
  </si>
  <si>
    <t>Interior Lighting</t>
  </si>
  <si>
    <t>Interior Lighting Control</t>
  </si>
  <si>
    <t>NPV ACC $/kW</t>
  </si>
  <si>
    <t>Utility Discount Rate</t>
  </si>
  <si>
    <t>Avoided Costs</t>
  </si>
  <si>
    <t>Net Present Value of Avoided Costs per kWh and kW for expected measure lives</t>
  </si>
  <si>
    <t>Utility Avoided Costs</t>
  </si>
  <si>
    <t>Total Utility Avoided Costs</t>
  </si>
  <si>
    <t>$/kW-yr</t>
  </si>
  <si>
    <t>Measure Life</t>
  </si>
  <si>
    <t>kWh escalator</t>
  </si>
  <si>
    <t>kW escalator</t>
  </si>
  <si>
    <t>NPV</t>
  </si>
  <si>
    <t>KCP&amp;L confimred that line losses, capacity reserve margins, and peak T&amp;D adjustments are all incldued in the NPV values. (email 9/20/18)</t>
  </si>
  <si>
    <t xml:space="preserve">vehicles removed </t>
  </si>
  <si>
    <t>from the road</t>
  </si>
  <si>
    <t>homes powered</t>
  </si>
  <si>
    <t>for one month</t>
  </si>
  <si>
    <r>
      <t>tons of landfill CO</t>
    </r>
    <r>
      <rPr>
        <vertAlign val="subscript"/>
        <sz val="13"/>
        <color theme="1"/>
        <rFont val="Arial"/>
        <family val="2"/>
      </rPr>
      <t>2</t>
    </r>
  </si>
  <si>
    <t xml:space="preserve">Saving </t>
  </si>
  <si>
    <t>Motors and Drives</t>
  </si>
  <si>
    <t>Source</t>
  </si>
  <si>
    <t xml:space="preserve"> emissions eliminated</t>
  </si>
  <si>
    <t>Lockheed Martin Proprietary Information</t>
  </si>
  <si>
    <t>Taylor</t>
  </si>
  <si>
    <t>Hot Food Holding Cabinet</t>
  </si>
  <si>
    <t>Payment</t>
  </si>
  <si>
    <t>Instructions</t>
  </si>
  <si>
    <t>Building Information</t>
  </si>
  <si>
    <t>Forms</t>
  </si>
  <si>
    <t>Activate Offer</t>
  </si>
  <si>
    <t>Activate Completion</t>
  </si>
  <si>
    <t>We encourage electronic submission. A typewritten signature is acceptable and will have the same effect as a pen signature.</t>
  </si>
  <si>
    <t>AUTHORIZATION FOR RELEASE OF CUSTOMER ACCOUNT INFORMATION</t>
  </si>
  <si>
    <t>AGREEMENT</t>
  </si>
  <si>
    <t>Section Savings</t>
  </si>
  <si>
    <t>Efficient Wattage</t>
  </si>
  <si>
    <t>Equipment Input</t>
  </si>
  <si>
    <t>Account Number 2</t>
  </si>
  <si>
    <t>% Complete</t>
  </si>
  <si>
    <t>Project Review &amp; Summary</t>
  </si>
  <si>
    <t>Payment Type</t>
  </si>
  <si>
    <t>Payee Company Name</t>
  </si>
  <si>
    <t>Payee First Name</t>
  </si>
  <si>
    <t>Payee Last Name</t>
  </si>
  <si>
    <t>Phone Number</t>
  </si>
  <si>
    <t>Zip Code</t>
  </si>
  <si>
    <t>Federal Tax ID Number</t>
  </si>
  <si>
    <t xml:space="preserve">Please enter the Payee Information below. The payee information may be autofilled based on your selection, but you can overwrite the data if necessary. </t>
  </si>
  <si>
    <t>-</t>
  </si>
  <si>
    <t>No</t>
  </si>
  <si>
    <t>Options</t>
  </si>
  <si>
    <t>Payment Agreement</t>
  </si>
  <si>
    <t>Payment Agreement Checkbox</t>
  </si>
  <si>
    <t xml:space="preserve"> ✎ Update</t>
  </si>
  <si>
    <t>Project Review</t>
  </si>
  <si>
    <t>is equivalent to…</t>
  </si>
  <si>
    <t>Measure Name</t>
  </si>
  <si>
    <t>Primary Key</t>
  </si>
  <si>
    <t>End Use</t>
  </si>
  <si>
    <t>Current Unit</t>
  </si>
  <si>
    <t>Incremental Measure Cost ($/Unit)</t>
  </si>
  <si>
    <t>Electric Energy Savings (Annual kWh/unit)</t>
  </si>
  <si>
    <t>Coincident Peak Demand Savings (kW/unit)</t>
  </si>
  <si>
    <t>Measure Life (Years)</t>
  </si>
  <si>
    <t>Measure Efficiency Value</t>
  </si>
  <si>
    <t>Baseline Definition</t>
  </si>
  <si>
    <t>Baseline Efficiency Value</t>
  </si>
  <si>
    <t>Effective Start Date</t>
  </si>
  <si>
    <t>TRM Measure Name</t>
  </si>
  <si>
    <t>Measure Type</t>
  </si>
  <si>
    <t>Material</t>
  </si>
  <si>
    <t>Labor</t>
  </si>
  <si>
    <t>Total Measure Cost</t>
  </si>
  <si>
    <t>Install Location</t>
  </si>
  <si>
    <t>Efficient Measure</t>
  </si>
  <si>
    <t>kWh</t>
  </si>
  <si>
    <t>kW</t>
  </si>
  <si>
    <t>Deemed</t>
  </si>
  <si>
    <t>Calculated</t>
  </si>
  <si>
    <t>Existing kWh</t>
  </si>
  <si>
    <t>Efficient kWh</t>
  </si>
  <si>
    <t>Measure Cost</t>
  </si>
  <si>
    <t>Wattage Controlled</t>
  </si>
  <si>
    <t>Quantity Type</t>
  </si>
  <si>
    <t>Exterior</t>
  </si>
  <si>
    <t>Space Type</t>
  </si>
  <si>
    <t>Baseline</t>
  </si>
  <si>
    <t>Annual Hours</t>
  </si>
  <si>
    <t>Lighting Schedule Section</t>
  </si>
  <si>
    <t xml:space="preserve">Efficient </t>
  </si>
  <si>
    <t>Incremental Cost</t>
  </si>
  <si>
    <t>LPD</t>
  </si>
  <si>
    <t>Total Wattage</t>
  </si>
  <si>
    <t>Total Cost</t>
  </si>
  <si>
    <t>End Use Factor</t>
  </si>
  <si>
    <t>Caps</t>
  </si>
  <si>
    <t>End Use kW</t>
  </si>
  <si>
    <t>Project Type</t>
  </si>
  <si>
    <t>Base Equipment Detail</t>
  </si>
  <si>
    <t>New Equipment Detail</t>
  </si>
  <si>
    <t>Cost Type</t>
  </si>
  <si>
    <t>Enter Utility Rate (Building Info Tab)</t>
  </si>
  <si>
    <t>CB</t>
  </si>
  <si>
    <t>Value</t>
  </si>
  <si>
    <t>Payback (years)</t>
  </si>
  <si>
    <t>kWh Rate Min</t>
  </si>
  <si>
    <t>kWh Rate Max</t>
  </si>
  <si>
    <t>Standard</t>
  </si>
  <si>
    <t>New Quantity</t>
  </si>
  <si>
    <t>Garage</t>
  </si>
  <si>
    <t>Lighting Coincidence Factor</t>
  </si>
  <si>
    <t>School (College/University)</t>
  </si>
  <si>
    <t>Assisted Living</t>
  </si>
  <si>
    <t>School (Childcare/Pre-School)</t>
  </si>
  <si>
    <t>Convenience Store</t>
  </si>
  <si>
    <t>Garage (24/7 lighting)</t>
  </si>
  <si>
    <t>Grocery</t>
  </si>
  <si>
    <t>Healthcare Clinic</t>
  </si>
  <si>
    <t>Movie Theater</t>
  </si>
  <si>
    <t>Manufacturing Facility</t>
  </si>
  <si>
    <t>Office - High Rise</t>
  </si>
  <si>
    <t>Office - Low Rise</t>
  </si>
  <si>
    <t>Office - Mid Rise</t>
  </si>
  <si>
    <t>Restaurant</t>
  </si>
  <si>
    <t>Retail - Department Store</t>
  </si>
  <si>
    <t>Retail - Strip Mall</t>
  </si>
  <si>
    <t>Hospital</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</si>
  <si>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</si>
  <si>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</si>
  <si>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</si>
  <si>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r>
      <t>Mailing Address</t>
    </r>
    <r>
      <rPr>
        <sz val="11"/>
        <color rgb="FFFF0000"/>
        <rFont val="Arial"/>
        <family val="2"/>
      </rPr>
      <t>*</t>
    </r>
  </si>
  <si>
    <r>
      <t>City</t>
    </r>
    <r>
      <rPr>
        <sz val="11"/>
        <color rgb="FFFF0000"/>
        <rFont val="Arial"/>
        <family val="2"/>
      </rPr>
      <t>*</t>
    </r>
  </si>
  <si>
    <r>
      <t>Zip Code</t>
    </r>
    <r>
      <rPr>
        <sz val="11"/>
        <color rgb="FFFF0000"/>
        <rFont val="Arial"/>
        <family val="2"/>
      </rPr>
      <t>*</t>
    </r>
  </si>
  <si>
    <r>
      <t>Contact 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</si>
  <si>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</si>
  <si>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</si>
  <si>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</si>
  <si>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</si>
  <si>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Legal Company Name</t>
    </r>
    <r>
      <rPr>
        <sz val="11"/>
        <color rgb="FFFF0000"/>
        <rFont val="Arial"/>
        <family val="2"/>
      </rPr>
      <t>*</t>
    </r>
  </si>
  <si>
    <r>
      <t>Company Address</t>
    </r>
    <r>
      <rPr>
        <sz val="11"/>
        <color rgb="FFFF0000"/>
        <rFont val="Arial"/>
        <family val="2"/>
      </rPr>
      <t>*</t>
    </r>
  </si>
  <si>
    <r>
      <t>Is the Site address the same as the Company address?</t>
    </r>
    <r>
      <rPr>
        <sz val="11"/>
        <color rgb="FFFF0000"/>
        <rFont val="Arial"/>
        <family val="2"/>
      </rPr>
      <t>*</t>
    </r>
  </si>
  <si>
    <r>
      <t>Utility Rate Code</t>
    </r>
    <r>
      <rPr>
        <sz val="11"/>
        <color rgb="FFFF0000"/>
        <rFont val="Arial"/>
        <family val="2"/>
      </rPr>
      <t>*</t>
    </r>
  </si>
  <si>
    <r>
      <t>Utility Electric Rate</t>
    </r>
    <r>
      <rPr>
        <sz val="11"/>
        <color rgb="FFFF0000"/>
        <rFont val="Arial"/>
        <family val="2"/>
      </rPr>
      <t>*</t>
    </r>
    <r>
      <rPr>
        <sz val="11"/>
        <color theme="1" tint="0.249977111117893"/>
        <rFont val="Arial"/>
        <family val="2"/>
      </rPr>
      <t xml:space="preserve"> ($/kWh)</t>
    </r>
  </si>
  <si>
    <r>
      <t>Site Name</t>
    </r>
    <r>
      <rPr>
        <sz val="11"/>
        <color rgb="FFFF0000"/>
        <rFont val="Arial"/>
        <family val="2"/>
      </rPr>
      <t>*</t>
    </r>
  </si>
  <si>
    <r>
      <t>Site Address</t>
    </r>
    <r>
      <rPr>
        <sz val="11"/>
        <color rgb="FFFF0000"/>
        <rFont val="Arial"/>
        <family val="2"/>
      </rPr>
      <t>*</t>
    </r>
  </si>
  <si>
    <r>
      <t>Project Type</t>
    </r>
    <r>
      <rPr>
        <sz val="11"/>
        <color rgb="FFFF0000"/>
        <rFont val="Arial"/>
        <family val="2"/>
      </rPr>
      <t>*</t>
    </r>
  </si>
  <si>
    <r>
      <t>Project Name / ID</t>
    </r>
    <r>
      <rPr>
        <sz val="11"/>
        <color rgb="FFFF0000"/>
        <rFont val="Arial"/>
        <family val="2"/>
      </rPr>
      <t>*</t>
    </r>
  </si>
  <si>
    <r>
      <t>How did you hear about the Program?</t>
    </r>
    <r>
      <rPr>
        <sz val="11"/>
        <color rgb="FFFF0000"/>
        <rFont val="Arial"/>
        <family val="2"/>
      </rPr>
      <t>*</t>
    </r>
  </si>
  <si>
    <r>
      <t>Annual Operating Hours</t>
    </r>
    <r>
      <rPr>
        <sz val="11"/>
        <color rgb="FFFF0000"/>
        <rFont val="Arial"/>
        <family val="2"/>
      </rPr>
      <t>*</t>
    </r>
  </si>
  <si>
    <r>
      <t>Square Footage</t>
    </r>
    <r>
      <rPr>
        <sz val="11"/>
        <color rgb="FFFF0000"/>
        <rFont val="Arial"/>
        <family val="2"/>
      </rPr>
      <t>*</t>
    </r>
  </si>
  <si>
    <r>
      <t>Space Conditioning Type</t>
    </r>
    <r>
      <rPr>
        <sz val="11"/>
        <color rgb="FFFF0000"/>
        <rFont val="Arial"/>
        <family val="2"/>
      </rPr>
      <t>*</t>
    </r>
  </si>
  <si>
    <r>
      <t>Project Description</t>
    </r>
    <r>
      <rPr>
        <sz val="11"/>
        <color rgb="FFFF0000"/>
        <rFont val="Arial"/>
        <family val="2"/>
      </rPr>
      <t>*</t>
    </r>
  </si>
  <si>
    <t>Customer Info</t>
  </si>
  <si>
    <t>Contractor/Vendor</t>
  </si>
  <si>
    <t>Program Flyer</t>
  </si>
  <si>
    <t>Program Email</t>
  </si>
  <si>
    <t>Program Advertisement</t>
  </si>
  <si>
    <t>Select Rate Code</t>
  </si>
  <si>
    <t>Continue to Instructions</t>
  </si>
  <si>
    <t>Building Area Type</t>
  </si>
  <si>
    <t>Automotive Facility</t>
  </si>
  <si>
    <t>Convention Center</t>
  </si>
  <si>
    <t>Courthouse</t>
  </si>
  <si>
    <t>Dining: Bar Lounge/Leisure</t>
  </si>
  <si>
    <t>Dining: Cafeteria/Fast Food</t>
  </si>
  <si>
    <t>Dining: Family</t>
  </si>
  <si>
    <t>Dormitory</t>
  </si>
  <si>
    <t>Exercise Center</t>
  </si>
  <si>
    <t>Fire Station</t>
  </si>
  <si>
    <t>Gymnasium</t>
  </si>
  <si>
    <t>School</t>
  </si>
  <si>
    <t>Healthcare – clinic</t>
  </si>
  <si>
    <t>Used VAV econ</t>
  </si>
  <si>
    <t>Hotel</t>
  </si>
  <si>
    <t>Averaged Guest/Common</t>
  </si>
  <si>
    <t>Library</t>
  </si>
  <si>
    <t>Motel</t>
  </si>
  <si>
    <t>Motion Picture Theater</t>
  </si>
  <si>
    <t>Multi-Family</t>
  </si>
  <si>
    <t>Museum</t>
  </si>
  <si>
    <t>Office</t>
  </si>
  <si>
    <t>Parking Garage</t>
  </si>
  <si>
    <t>Assumed non 24/7</t>
  </si>
  <si>
    <t>Penitentiary</t>
  </si>
  <si>
    <t>Performing Arts Theaters</t>
  </si>
  <si>
    <t>Assumed Movie Theater</t>
  </si>
  <si>
    <t>Police Station</t>
  </si>
  <si>
    <t>Post Office</t>
  </si>
  <si>
    <t>Assumed Low-Use Small Business</t>
  </si>
  <si>
    <t>Religious Building</t>
  </si>
  <si>
    <t>Retail</t>
  </si>
  <si>
    <t>Sports Arena</t>
  </si>
  <si>
    <t>Town Hall</t>
  </si>
  <si>
    <t>Transportation</t>
  </si>
  <si>
    <t>University</t>
  </si>
  <si>
    <t>Workshop</t>
  </si>
  <si>
    <t xml:space="preserve">End Use </t>
  </si>
  <si>
    <t>1,000 Sq. Ft.</t>
  </si>
  <si>
    <t>Select Space Type #1</t>
  </si>
  <si>
    <t>Select Space Type #2</t>
  </si>
  <si>
    <t>Select Space Type #3</t>
  </si>
  <si>
    <t>Fixture Description (Brand/Model/Type)</t>
  </si>
  <si>
    <t>Total Watts</t>
  </si>
  <si>
    <t>Select Space Type #4</t>
  </si>
  <si>
    <t>Select Space Type #5</t>
  </si>
  <si>
    <t>Select Space Type #6</t>
  </si>
  <si>
    <t>Space Area (sq.ft./linear ft)</t>
  </si>
  <si>
    <t>Project Information</t>
  </si>
  <si>
    <t>Project Site Address</t>
  </si>
  <si>
    <t>Project Contact</t>
  </si>
  <si>
    <t>Approving Engineer</t>
  </si>
  <si>
    <t>Signature</t>
  </si>
  <si>
    <t>Date</t>
  </si>
  <si>
    <t>1. Project Timeline</t>
  </si>
  <si>
    <t>2. Customer Signature</t>
  </si>
  <si>
    <t>Sign and date here. We encourage electronic submission. A typewritten signature is acceptable and will have the same effect as a pen signature.</t>
  </si>
  <si>
    <t>Customer Signature</t>
  </si>
  <si>
    <t>3.</t>
  </si>
  <si>
    <t>Submit Offer Form</t>
  </si>
  <si>
    <t>Costs</t>
  </si>
  <si>
    <t>kW Savings</t>
  </si>
  <si>
    <t>Please review the Offer Form below and fill in the highlighted fields. If you have any questions, please contact us.</t>
  </si>
  <si>
    <t>2. Review Payee Information</t>
  </si>
  <si>
    <r>
      <t>Is the following payment information correct? If not, change your selection in the</t>
    </r>
    <r>
      <rPr>
        <sz val="11"/>
        <color rgb="FF0000FF"/>
        <rFont val="Arial"/>
        <family val="2"/>
      </rPr>
      <t xml:space="preserve"> Payment</t>
    </r>
    <r>
      <rPr>
        <sz val="11"/>
        <color theme="1"/>
        <rFont val="Arial"/>
        <family val="2"/>
      </rPr>
      <t xml:space="preserve"> tab.</t>
    </r>
  </si>
  <si>
    <t>3. Customer Signature</t>
  </si>
  <si>
    <t>4. Submit Documents</t>
  </si>
  <si>
    <t>a.</t>
  </si>
  <si>
    <t>Save this application with an unique file name.</t>
  </si>
  <si>
    <t>b.</t>
  </si>
  <si>
    <t>Gather all required documents to submit, such as</t>
  </si>
  <si>
    <t>Specification sheets of all new equipment</t>
  </si>
  <si>
    <t>If applicable</t>
  </si>
  <si>
    <t>Additional project assumption documents</t>
  </si>
  <si>
    <t>Calculation or model output</t>
  </si>
  <si>
    <t>c.</t>
  </si>
  <si>
    <t>Submit this Excel application and related documents as email attachments.</t>
  </si>
  <si>
    <t>Please feel free to contact us with any questions about this project or any other project. (Reference our contact information below).</t>
  </si>
  <si>
    <t>2. Submittal and Next Steps</t>
  </si>
  <si>
    <t>*This button will create a draft email. Please attach your application and supporting documentation and then hit send.</t>
  </si>
  <si>
    <t>Measure Code</t>
  </si>
  <si>
    <t>Calculated kWh Savings</t>
  </si>
  <si>
    <t>Calculated kW Savings</t>
  </si>
  <si>
    <t>Spillover Calculated kWh Savings</t>
  </si>
  <si>
    <t>Base Wattage</t>
  </si>
  <si>
    <t>Line Number</t>
  </si>
  <si>
    <t>Base Notes</t>
  </si>
  <si>
    <t>Eff Notes</t>
  </si>
  <si>
    <t>Spillover Equipment Cost</t>
  </si>
  <si>
    <t>Spillover Labor Cost</t>
  </si>
  <si>
    <t>Spillover Total Cost</t>
  </si>
  <si>
    <t>Spillover Cost Basis</t>
  </si>
  <si>
    <t>Cost Benefit</t>
  </si>
  <si>
    <t>Program Contact PC</t>
  </si>
  <si>
    <t>Project Number</t>
  </si>
  <si>
    <t>Application Version</t>
  </si>
  <si>
    <t>Method Received</t>
  </si>
  <si>
    <t>Project Type*</t>
  </si>
  <si>
    <t>Project Name / ID*</t>
  </si>
  <si>
    <t>Building Type*</t>
  </si>
  <si>
    <t>Annual Operating Hours*</t>
  </si>
  <si>
    <t>Square Footage*</t>
  </si>
  <si>
    <t>Space Conditioning Type*</t>
  </si>
  <si>
    <t>Project Description*</t>
  </si>
  <si>
    <t>Eff Units</t>
  </si>
  <si>
    <t>Base Units</t>
  </si>
  <si>
    <t>Spillover Base Units</t>
  </si>
  <si>
    <t>Spillover Eff Units</t>
  </si>
  <si>
    <t>Spillover Calculated kW Savings</t>
  </si>
  <si>
    <t>Standard and Custom</t>
  </si>
  <si>
    <t xml:space="preserve">kW </t>
  </si>
  <si>
    <t>Calculated kW</t>
  </si>
  <si>
    <t>Payment To</t>
  </si>
  <si>
    <t>Tax Information</t>
  </si>
  <si>
    <t>Transfer ID</t>
  </si>
  <si>
    <t>Application Progress</t>
  </si>
  <si>
    <t>Company Name</t>
  </si>
  <si>
    <t>Contact Name</t>
  </si>
  <si>
    <t>Title</t>
  </si>
  <si>
    <t>Company Address</t>
  </si>
  <si>
    <t>How did you hear about this program?</t>
  </si>
  <si>
    <t>Electric $/kWh</t>
  </si>
  <si>
    <t>Customer Contact / Company Contact</t>
  </si>
  <si>
    <t>Primary Contact / Site Contact</t>
  </si>
  <si>
    <t>Payee Information</t>
  </si>
  <si>
    <t>Payee Company</t>
  </si>
  <si>
    <t>Payee Name</t>
  </si>
  <si>
    <t>Payee Address</t>
  </si>
  <si>
    <t>Payee Phone</t>
  </si>
  <si>
    <t>Payee Email</t>
  </si>
  <si>
    <t>Payee Type</t>
  </si>
  <si>
    <t>Site Address</t>
  </si>
  <si>
    <t>Account Name</t>
  </si>
  <si>
    <t>Account #</t>
  </si>
  <si>
    <t>App Version</t>
  </si>
  <si>
    <t>Rate Code</t>
  </si>
  <si>
    <t>Site Name</t>
  </si>
  <si>
    <t>Project ID</t>
  </si>
  <si>
    <t>TA Address</t>
  </si>
  <si>
    <t>TA Company Name</t>
  </si>
  <si>
    <t>Space Cond Type</t>
  </si>
  <si>
    <t>Measure Count</t>
  </si>
  <si>
    <t>Questions?</t>
  </si>
  <si>
    <t>Website:</t>
  </si>
  <si>
    <t>KCPL Contact</t>
  </si>
  <si>
    <t>How did you hear?</t>
  </si>
  <si>
    <t>Vendor:</t>
  </si>
  <si>
    <t>Address:</t>
  </si>
  <si>
    <t xml:space="preserve">Phone: </t>
  </si>
  <si>
    <t xml:space="preserve">Email: </t>
  </si>
  <si>
    <t xml:space="preserve">Project ID: </t>
  </si>
  <si>
    <t>https://www.eia.gov/tools/faqs/faq.php?id=74&amp;t=11</t>
  </si>
  <si>
    <t>https://www.epa.gov/energy/greenhouse-gases-equivalencies-calculator-calculations-and-references</t>
  </si>
  <si>
    <t>Utility Escalation Rate</t>
  </si>
  <si>
    <t>Societal Discount Rate</t>
  </si>
  <si>
    <t>Environmental Adder ($/kWh)</t>
  </si>
  <si>
    <t>Mercury emissions plus potential future carbon tax</t>
  </si>
  <si>
    <t>Societal Avoided Costs</t>
  </si>
  <si>
    <t>Total Societal Avoided Costs</t>
  </si>
  <si>
    <t>Custom Cost Benefit</t>
  </si>
  <si>
    <t>Custom Payback</t>
  </si>
  <si>
    <t>Spillover Measure Number</t>
  </si>
  <si>
    <t>20000001</t>
  </si>
  <si>
    <t>Interior Lighting LPD</t>
  </si>
  <si>
    <t>Exterior Lighting LPD</t>
  </si>
  <si>
    <t>Block Bidding</t>
  </si>
  <si>
    <r>
      <rPr>
        <sz val="11"/>
        <color theme="0" tint="-0.499984740745262"/>
        <rFont val="Wingdings"/>
        <charset val="2"/>
      </rPr>
      <t xml:space="preserve">( </t>
    </r>
    <r>
      <rPr>
        <b/>
        <sz val="11"/>
        <color theme="0" tint="-0.499984740745262"/>
        <rFont val="Arial"/>
        <family val="2"/>
      </rPr>
      <t xml:space="preserve">
Contact</t>
    </r>
  </si>
  <si>
    <t>Block Bidding Rate ($/kWh)</t>
  </si>
  <si>
    <t>Activate Block Bid</t>
  </si>
  <si>
    <t>$/kW Rate</t>
  </si>
  <si>
    <t>Enter Bldg Type (Building Tab)</t>
  </si>
  <si>
    <t>Measure Qty</t>
  </si>
  <si>
    <r>
      <t>Payment Type</t>
    </r>
    <r>
      <rPr>
        <sz val="11"/>
        <color rgb="FFFF0000"/>
        <rFont val="Arial"/>
        <family val="2"/>
      </rPr>
      <t>*</t>
    </r>
  </si>
  <si>
    <r>
      <t>Payee Company Name</t>
    </r>
    <r>
      <rPr>
        <sz val="11"/>
        <color rgb="FFFF0000"/>
        <rFont val="Arial"/>
        <family val="2"/>
      </rPr>
      <t>"</t>
    </r>
  </si>
  <si>
    <r>
      <t>Tax Entity</t>
    </r>
    <r>
      <rPr>
        <sz val="11"/>
        <color rgb="FFFF0000"/>
        <rFont val="Arial"/>
        <family val="2"/>
      </rPr>
      <t>*</t>
    </r>
  </si>
  <si>
    <r>
      <t>Phone Number</t>
    </r>
    <r>
      <rPr>
        <sz val="11"/>
        <color rgb="FFFF0000"/>
        <rFont val="Arial"/>
        <family val="2"/>
      </rPr>
      <t>*</t>
    </r>
  </si>
  <si>
    <r>
      <t>Payee Last Name</t>
    </r>
    <r>
      <rPr>
        <sz val="11"/>
        <color rgb="FFFF0000"/>
        <rFont val="Arial"/>
        <family val="2"/>
      </rPr>
      <t>*</t>
    </r>
  </si>
  <si>
    <r>
      <t>Payee First Name</t>
    </r>
    <r>
      <rPr>
        <sz val="11"/>
        <color rgb="FFFF0000"/>
        <rFont val="Arial"/>
        <family val="2"/>
      </rPr>
      <t>*</t>
    </r>
  </si>
  <si>
    <r>
      <t>Federal Tax ID Number</t>
    </r>
    <r>
      <rPr>
        <sz val="11"/>
        <color rgb="FFFF0000"/>
        <rFont val="Arial"/>
        <family val="2"/>
      </rPr>
      <t>*</t>
    </r>
  </si>
  <si>
    <t>22310501</t>
  </si>
  <si>
    <t>22311802</t>
  </si>
  <si>
    <t>22310503</t>
  </si>
  <si>
    <t>22311805</t>
  </si>
  <si>
    <t>22310506</t>
  </si>
  <si>
    <t>22311307</t>
  </si>
  <si>
    <t>22310510</t>
  </si>
  <si>
    <t>22311911</t>
  </si>
  <si>
    <t>22311812</t>
  </si>
  <si>
    <t>22311813</t>
  </si>
  <si>
    <t>22311315</t>
  </si>
  <si>
    <t>22311816</t>
  </si>
  <si>
    <t>22311817</t>
  </si>
  <si>
    <t>22310301</t>
  </si>
  <si>
    <t>22310302</t>
  </si>
  <si>
    <t>22310303</t>
  </si>
  <si>
    <t>22310304</t>
  </si>
  <si>
    <t>22312005</t>
  </si>
  <si>
    <t>22312006</t>
  </si>
  <si>
    <t>22310307</t>
  </si>
  <si>
    <t>22311908</t>
  </si>
  <si>
    <t>22310101</t>
  </si>
  <si>
    <t>22310102</t>
  </si>
  <si>
    <t>22311503</t>
  </si>
  <si>
    <t>22310104</t>
  </si>
  <si>
    <t>22311505</t>
  </si>
  <si>
    <t>22311506</t>
  </si>
  <si>
    <t>22311907</t>
  </si>
  <si>
    <t>22310108</t>
  </si>
  <si>
    <t>22311301</t>
  </si>
  <si>
    <t>22311702</t>
  </si>
  <si>
    <t>22311303</t>
  </si>
  <si>
    <t>22311304</t>
  </si>
  <si>
    <t>22311905</t>
  </si>
  <si>
    <t>22310106</t>
  </si>
  <si>
    <t>22311308</t>
  </si>
  <si>
    <t>22311309</t>
  </si>
  <si>
    <t>22311310</t>
  </si>
  <si>
    <t>22311701</t>
  </si>
  <si>
    <t>22311703</t>
  </si>
  <si>
    <t>22311704</t>
  </si>
  <si>
    <t>22311705</t>
  </si>
  <si>
    <t>22311706</t>
  </si>
  <si>
    <t>22311906</t>
  </si>
  <si>
    <t>22311707</t>
  </si>
  <si>
    <t>22310202</t>
  </si>
  <si>
    <t>22310203</t>
  </si>
  <si>
    <t>22310204</t>
  </si>
  <si>
    <t>01</t>
  </si>
  <si>
    <t>02</t>
  </si>
  <si>
    <t>03</t>
  </si>
  <si>
    <t>04</t>
  </si>
  <si>
    <t>05</t>
  </si>
  <si>
    <t>06</t>
  </si>
  <si>
    <t>07</t>
  </si>
  <si>
    <t>08</t>
  </si>
  <si>
    <t>11</t>
  </si>
  <si>
    <t>12</t>
  </si>
  <si>
    <t>13</t>
  </si>
  <si>
    <t>15</t>
  </si>
  <si>
    <t>17</t>
  </si>
  <si>
    <t>18</t>
  </si>
  <si>
    <t>19</t>
  </si>
  <si>
    <t>20</t>
  </si>
  <si>
    <t>21</t>
  </si>
  <si>
    <t>Measure Number Indicator</t>
  </si>
  <si>
    <r>
      <t xml:space="preserve">1) Download and read through the Program terms and conditions using the link below. 
2) Sign at the bottom of the page to indicate you understand and agree to the terms and conditions.
</t>
    </r>
    <r>
      <rPr>
        <b/>
        <sz val="11"/>
        <color theme="1" tint="0.249977111117893"/>
        <rFont val="Arial"/>
        <family val="2"/>
      </rPr>
      <t xml:space="preserve">
</t>
    </r>
    <r>
      <rPr>
        <b/>
        <u/>
        <sz val="11"/>
        <color theme="4" tint="-0.249977111117893"/>
        <rFont val="Arial"/>
        <family val="2"/>
      </rPr>
      <t xml:space="preserve">Download Program Terms and Conditions </t>
    </r>
  </si>
  <si>
    <t>N/A</t>
  </si>
  <si>
    <t>Enter Site City &amp; Zip (Building Tab)</t>
  </si>
  <si>
    <t>22311101</t>
  </si>
  <si>
    <t>22320702</t>
  </si>
  <si>
    <t>ASHRAE 90.1 2016</t>
  </si>
  <si>
    <t>IECC 2018</t>
  </si>
  <si>
    <t>Complete Step 1: Lighting Schedule</t>
  </si>
  <si>
    <t>Codes</t>
  </si>
  <si>
    <t>1.0.0</t>
  </si>
  <si>
    <t>First version sent out</t>
  </si>
  <si>
    <t>MP</t>
  </si>
  <si>
    <t>Annual Avoided Energy Cost</t>
  </si>
  <si>
    <t>1.0.1</t>
  </si>
  <si>
    <t>Updated new con baseline formula
Formatted Show Detail columns
Made all quantity and kWh columns on custom tabs whole number formatting
Unhid formulas on building info tab
Updated export project type, phone number, links, payee type
fixed header row so that the thick border doesnt drag down
hid index formula on custom lighting tab
updated link for Standard Water heating on Project Review
Wrapped text on Install Location on standard tabs
Fixed CB ratio on all measure tabs</t>
  </si>
  <si>
    <t>Trade Ally Mailing Address</t>
  </si>
  <si>
    <t>Trade Ally City</t>
  </si>
  <si>
    <t>Trade Ally State</t>
  </si>
  <si>
    <t>Trade Ally Zip Code</t>
  </si>
  <si>
    <t>Trade Ally Contact First Name</t>
  </si>
  <si>
    <t>Trade Ally Last Name</t>
  </si>
  <si>
    <t>Trade Ally Title</t>
  </si>
  <si>
    <t>Trade Ally Primary Phone</t>
  </si>
  <si>
    <t>Trade Ally Email</t>
  </si>
  <si>
    <t>Legal Company Name</t>
  </si>
  <si>
    <t>Company City</t>
  </si>
  <si>
    <t>Company State</t>
  </si>
  <si>
    <t>Company Zip Code</t>
  </si>
  <si>
    <t>Company Contact First Name</t>
  </si>
  <si>
    <t>Company Last Name</t>
  </si>
  <si>
    <t>Company Title</t>
  </si>
  <si>
    <t>Company Primary Phone</t>
  </si>
  <si>
    <t>Company Email</t>
  </si>
  <si>
    <t>Utility Rate Code</t>
  </si>
  <si>
    <t>Account Number 1</t>
  </si>
  <si>
    <t>Utility Electric Rate ($/kWh)</t>
  </si>
  <si>
    <t>Trade Ally / Vendor Company</t>
  </si>
  <si>
    <t>Date Signed</t>
  </si>
  <si>
    <t>Signatory Title</t>
  </si>
  <si>
    <t>Electronic Signature (Account Owner or Authorized Representative)</t>
  </si>
  <si>
    <t>Site City</t>
  </si>
  <si>
    <t>Site State</t>
  </si>
  <si>
    <t>Site Zip Code</t>
  </si>
  <si>
    <t>Site Contact First Name</t>
  </si>
  <si>
    <t>Site Last Name</t>
  </si>
  <si>
    <t>Site Title</t>
  </si>
  <si>
    <t>Site Primary Phone</t>
  </si>
  <si>
    <t>Site Email</t>
  </si>
  <si>
    <t xml:space="preserve">Updated Export Title Names to be unique for approval tool
Added invoice and install date to Export </t>
  </si>
  <si>
    <t>Updated 2' and 4' lamp standard measure to have T5s</t>
  </si>
  <si>
    <t>Small General Service (1SGSE)</t>
  </si>
  <si>
    <t>Medium General Service (1MGSE)</t>
  </si>
  <si>
    <t>Large General Service (1LGSE)</t>
  </si>
  <si>
    <t>Large Power Service (1PGSE)</t>
  </si>
  <si>
    <t>Small General Service (MOSGS)</t>
  </si>
  <si>
    <t>Large General Service (MOLGS)</t>
  </si>
  <si>
    <t>Large Power Service (MOPGS)</t>
  </si>
  <si>
    <t>1.2.0</t>
  </si>
  <si>
    <t>Section Incentive</t>
  </si>
  <si>
    <t>Incentive per Unit</t>
  </si>
  <si>
    <t>Terms and Conditions for Payment of Incentive</t>
  </si>
  <si>
    <t>Incentive Summary</t>
  </si>
  <si>
    <t>Estimated Incentive</t>
  </si>
  <si>
    <t>Energy Efficiency Incentive Report</t>
  </si>
  <si>
    <t>Without Incentive</t>
  </si>
  <si>
    <t>With Incentive</t>
  </si>
  <si>
    <t>Incentive Offer</t>
  </si>
  <si>
    <t>Fred Schreiber</t>
  </si>
  <si>
    <r>
      <t>Jaime Jim</t>
    </r>
    <r>
      <rPr>
        <sz val="11"/>
        <color theme="1"/>
        <rFont val="Calibri"/>
        <family val="2"/>
      </rPr>
      <t>é</t>
    </r>
    <r>
      <rPr>
        <sz val="11"/>
        <color theme="1"/>
        <rFont val="Calibri"/>
        <family val="2"/>
      </rPr>
      <t>nez-Fuentes</t>
    </r>
  </si>
  <si>
    <t>Brett Sharp</t>
  </si>
  <si>
    <t>Spillover kWh</t>
  </si>
  <si>
    <t>Spillover kW</t>
  </si>
  <si>
    <t>Spillover Units</t>
  </si>
  <si>
    <t>Milestone Track</t>
  </si>
  <si>
    <t>Offered Date</t>
  </si>
  <si>
    <t>Offer Signed Date</t>
  </si>
  <si>
    <t>RECFR Date</t>
  </si>
  <si>
    <t>Offer Signature</t>
  </si>
  <si>
    <t>Completion Signature</t>
  </si>
  <si>
    <t>Completion Signed Date</t>
  </si>
  <si>
    <t>Measure</t>
  </si>
  <si>
    <t>Incentive Unit Type</t>
  </si>
  <si>
    <t>Min Tons</t>
  </si>
  <si>
    <t>Max Tons</t>
  </si>
  <si>
    <t>Proposed</t>
  </si>
  <si>
    <t>Rating</t>
  </si>
  <si>
    <t>App Expired</t>
  </si>
  <si>
    <t>Heat Pump - Air Source</t>
  </si>
  <si>
    <t>Heat Pump - Ground Source</t>
  </si>
  <si>
    <t>Fan Walls</t>
  </si>
  <si>
    <t>VRF System</t>
  </si>
  <si>
    <t>Electric Heat</t>
  </si>
  <si>
    <t>Enthalpy Economizer</t>
  </si>
  <si>
    <t>Fan Wall</t>
  </si>
  <si>
    <t>Bonus Incentive</t>
  </si>
  <si>
    <t>Bonus Rate ($/kWh)</t>
  </si>
  <si>
    <t>MBH</t>
  </si>
  <si>
    <t>ESTIMATED INCENTIVE TOTAL:</t>
  </si>
  <si>
    <t>General
	• Added $100,000 alert for block bidding -&gt; Project Review Tab
	• Labeled submit button as submit instructions
	• Added expiration coding to measures and added an alert at top, Expiration is October 19th
	• Changed rebate to incentive
	• Updated default $/kWh rates
	• Added Canada to the states list
	• Added Makenna Dunlap to the PCs, Removed Edward
	• Added Brett, Eric, and Angie to BDs list, Removed Rick and Jeff
	• Added rate code to Rate Code dropdown
	• Updated block bidding rate to 4 cents
	• Updated Project Submission install and invoice date conditional formatting to show if standard incentive is = 10K 
	• Updated CB Data
Measures
	• Updated existing Standard measures with new incentive rates
	• Added bonus custom rates
	• Added WHF to baseline and eff kWh calculations on standard lighting tab
	• Updated the Standard HVAC tab to accept RTU standard measures (size and efficiency)
	• Updated standard end uses to match LM Captures option set
	• Updated standard lighting DLC column to Efficient Brand and Model #
	• Fixed all columns so they shrink instead of wrap text
	• Updated summing formulas on custom lighting at bottom
	• Update rate code alert to make sure it is a number and not "select a rate code", Add error check for Utility Electric Rate = "Select Rate Code"
	• Fixed orange conditional formatting on New construction measure tab for annual hours, material, labor
	• Fixed LPD table for Exercise Center to have Interior Lighting End Use
	• Added VRF System, Fan Wall, Enthalpy Economizer, Water Source Heat Pump, Air Source Heat Pump to the HVAC dropdown
	• Removed Cooling Only HVAC Equipment option
PC Summary
	• Updated fields so the 's will not capitalize
	• Added pre-approval / fast track milestone indicator to PC Summary
	• Added baseline and efficient kWh totals to the PC Summary
	• Added building code to the PC Summary
	• Split out spillover savings
Export
	• Added formulas to all Export fields
	• Added Offer fields to export
	• Added Completion fields to export
                • Corrected Spillover fields on Export tab under Custom New Construction lighting</t>
  </si>
  <si>
    <t>8/22/19-8/27/19</t>
  </si>
  <si>
    <t>22312101</t>
  </si>
  <si>
    <t>22310601</t>
  </si>
  <si>
    <t>22311316</t>
  </si>
  <si>
    <t>22310511</t>
  </si>
  <si>
    <t>22310512</t>
  </si>
  <si>
    <t>Added marketing images
Removed VFD for Chiller measures
Added measure numbers to new standard and custom measures</t>
  </si>
  <si>
    <t>---Evergy Missouri Metro---</t>
  </si>
  <si>
    <t>---Evergy Missouri West---</t>
  </si>
  <si>
    <t>businessrebates@evergy.com</t>
  </si>
  <si>
    <t>Once you're ready to submit, attach all required documents and your saved application to an email and send it to: businessrebates@evergy.com</t>
  </si>
  <si>
    <t>✉ Draft Email</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</si>
  <si>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</si>
  <si>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</si>
  <si>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</si>
  <si>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Evergy Website</t>
  </si>
  <si>
    <t>Evergy/Program Representative</t>
  </si>
  <si>
    <t>I authorize Evergy to access energy usage data for the specified accounts at the physical site address of the project listed above and release to the Trade Ally listed on this application. I agree that Evergy may include my name, city or county of business, Program services/incentives and resulting energy-savings in reports or other documentation submitted to Evergy and relevant agencies administering energy programs. Evergy will treat all other information gathered through the Program as confidential.</t>
  </si>
  <si>
    <t xml:space="preserve">I understand and agree to comply with the Terms and Conditions of the Evergy Energy Efficiency Program and that all energy efficiency measures identified in this application comply with program rules. </t>
  </si>
  <si>
    <t>Evergy Program Approval</t>
  </si>
  <si>
    <t>Evergy Business Energy Savings Program</t>
  </si>
  <si>
    <t>evergy.com/mybusiness</t>
  </si>
  <si>
    <t>1.3.0</t>
  </si>
  <si>
    <t>Bill Credit Account*</t>
  </si>
  <si>
    <t>Site (Bill Credit)</t>
  </si>
  <si>
    <t>Site (Check)</t>
  </si>
  <si>
    <t>Company (Check)</t>
  </si>
  <si>
    <t>Trade Ally (Check)</t>
  </si>
  <si>
    <t>Other (Check)</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</si>
  <si>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</si>
  <si>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Bill Credit Acc</t>
  </si>
  <si>
    <t>Updated expiration date
Updated version number
Updated logos
Updated coloring
Updated marketing pngs
Updated email address
Added in bill credit option to payee, updated template, project summary, completion form, PC summary, export
Added site name to project ID in the footer</t>
  </si>
  <si>
    <t xml:space="preserve">I understand and agree to comply with the Payment Terms and Conditions of the Evergy Business Energy Savings Program. </t>
  </si>
  <si>
    <t xml:space="preserve">evergy.com/mybusiness </t>
  </si>
  <si>
    <t>Taylor Cheek</t>
  </si>
  <si>
    <t>Signatory</t>
  </si>
  <si>
    <t>T&amp;C</t>
  </si>
  <si>
    <t>Tax Entity / Tax ID</t>
  </si>
  <si>
    <t>Initial Engineering Notes</t>
  </si>
  <si>
    <t>Final Engineering Notes</t>
  </si>
  <si>
    <t xml:space="preserve">To move forward with the incentive process click the "Draft Email" button, attach the below items to the email, and then hit send. </t>
  </si>
  <si>
    <t>1)</t>
  </si>
  <si>
    <t>2)</t>
  </si>
  <si>
    <t>Itemized invoices (including equipment and labor costs)</t>
  </si>
  <si>
    <t>Updated and signed Completion Form (as Excel)</t>
  </si>
  <si>
    <t xml:space="preserve">To move forward with the incentive process click the "Draft Email" button, attach your signed Offer Form (as Excel) to the email, and then hit send. </t>
  </si>
  <si>
    <t>Added Dane as IS, Removed Alana
Added thicker separation lines on measure input tabs to identify different sections 
Corrected the quantity type for the standard strip curtain standard measures to per curtain
Updated wording for ecm refrigerator measure to include reach in
Updated rate schedule headers
	○ KCP&amp;L Missouri = Evergy Missouri Metro
	○ KCP&amp;L GMO = Evergy Missouri West
Changed inbox email from businessrebate@kcpl.com to businessrebates@evergy.com
Updated Standard Incentives: http://www.lmenergyefficiency.com/wp-content/uploads/Evergy-Standard-Incentives-Brochure.pdf 
Updated Custom Incentives: http://www.lmenergyefficiency.com/wp-content/uploads/Evergy-Custom-Incentive-Rates.pdf 
Updated new T&amp;Cs: http://www.lmenergyefficiency.com/wp-content/uploads/Evergy-TERMS-FINAL.pdf 
Updated website link: https://www.evergy.com/ways-to-save/incentives/custom-and-standard
Updated account link https://www.evergy.com/log-in 
Updated TA link https://www.evergy.com/partner-with-us/trade-allies
Added intiial and final engineering comment filed to PC Summary and Export tab
Added explination to annual operative hours
Added draft email buttons to offer and completion forms
Removed Kansas City North from city drop down</t>
  </si>
  <si>
    <t>Jordan</t>
  </si>
  <si>
    <t>Added RCx tabs</t>
  </si>
  <si>
    <t>TA/Contractor</t>
  </si>
  <si>
    <t>Customer/Self-Installed</t>
  </si>
  <si>
    <t>3 Pan ENERGY STAR Steam Cooker</t>
  </si>
  <si>
    <t>4 Pan ENERGY STAR Steam Cooker</t>
  </si>
  <si>
    <t>5 Pan ENERGY STAR Steam Cooker</t>
  </si>
  <si>
    <t>6 Pan ENERGY STAR Steam Cooker</t>
  </si>
  <si>
    <t>ENERGY STAR Hot Holding Cabinet (0 &lt; V &lt;13)</t>
  </si>
  <si>
    <t>ENERGY STAR Hot Holding Cabinet (13 ≤ V &lt;28)</t>
  </si>
  <si>
    <t>ENERGY STAR Hot Holding Cabinet (28 ≤ V)</t>
  </si>
  <si>
    <t>Food Services</t>
  </si>
  <si>
    <t>Water Heating / Food Services</t>
  </si>
  <si>
    <t>Compressed Air</t>
  </si>
  <si>
    <t>ASHP &lt;65kbtu</t>
  </si>
  <si>
    <t>ASHP &gt;240kbtu</t>
  </si>
  <si>
    <t>ASHP 135 - 240kbtu</t>
  </si>
  <si>
    <t>ASHP 65 - 135kbtu</t>
  </si>
  <si>
    <t>Packaged DX &lt;65kbtu</t>
  </si>
  <si>
    <t>Packaged DX &gt;760kbtu</t>
  </si>
  <si>
    <t>Packaged DX 135 - 240kbtu</t>
  </si>
  <si>
    <t>Packaged DX 240 - 760kbtu</t>
  </si>
  <si>
    <t>Packaged DX 65 -135kbtu</t>
  </si>
  <si>
    <t>Cooling</t>
  </si>
  <si>
    <t>Efficient Definition</t>
  </si>
  <si>
    <t>Electric Heating</t>
  </si>
  <si>
    <t>2.0.0</t>
  </si>
  <si>
    <t>Column1</t>
  </si>
  <si>
    <t>Rate ($/kWh)</t>
  </si>
  <si>
    <t>kWh Incentive</t>
  </si>
  <si>
    <t>Total Cost Cap</t>
  </si>
  <si>
    <t>Incremental Cost Cap</t>
  </si>
  <si>
    <t>Benefits</t>
  </si>
  <si>
    <t>HVAC Controls Op w/ Peak</t>
  </si>
  <si>
    <t>HVAC Controls Op w/o Peak</t>
  </si>
  <si>
    <t>Ext Lighting w/o Peak</t>
  </si>
  <si>
    <t>SteamModeESTAR</t>
  </si>
  <si>
    <t>SteamModeBase</t>
  </si>
  <si>
    <t>IdleRateESTAR</t>
  </si>
  <si>
    <t>IdleRateBase</t>
  </si>
  <si>
    <t>Column12</t>
  </si>
  <si>
    <t>Column13</t>
  </si>
  <si>
    <t>Column14</t>
  </si>
  <si>
    <t>Column15</t>
  </si>
  <si>
    <t>Column16</t>
  </si>
  <si>
    <t>Column17</t>
  </si>
  <si>
    <t>EER</t>
  </si>
  <si>
    <t>SEER</t>
  </si>
  <si>
    <t>IEER</t>
  </si>
  <si>
    <t>EFLHcool</t>
  </si>
  <si>
    <t>EFLHheat</t>
  </si>
  <si>
    <t>COP</t>
  </si>
  <si>
    <t>Column18</t>
  </si>
  <si>
    <t>HSPF</t>
  </si>
  <si>
    <t>This is a TRC tool</t>
  </si>
  <si>
    <t>General
	• Updated LM to TRC
	• Updated footer to say TRC tool 
	• Updated expiration date to 5/29/2020 
Terms and Conditions
	• Update help hint for electronic signature to say Evergy
TA/Vendor Info
	• Updated TA tab to Trade Ally/Contractor Information. 
	• Added who install field 
Data Tables
	• Updated PCDR factors and end use naming. 
Measure3
	○ Updated end use Cooking to Food Services
	○ Updated end use Unitary AC to Cooling
	○ Removed measures that can be applied for on standard
	○ Added VFD on Chiller end use HVAC Controls w/ peak
	○ Added Process Chiller end use Process
Measures
Std Lighting
	○ Added autofill for wattages
	○ Added min and max for wattages
	○ Updated front end kWh to show calculated kWh
	○ Updated kW to kWh*PCDR factor
	○ Updated kWh for parking and exterior so there is no WHF included
	○ Added max of 4380 hours for exterior dusk-to-dawn lighting
	○ Updated standard lighting to obtain more detail on ineff equipment
	○ Added green highlight if baseline autofill wattage is overrode
Std Lighting Controls
	○ Changed kWh to actuals
	○ Updated tab to function for Networked lighting controls, sq ft, quantity type
	○ Added check on total wattage controlled to make sure it exceeds or meets required amount Made this the min wattage controlled times the number of sensors which is a column in the backend 
Std HVAC
	○ Updated deemed savings to just kWh*ton and kW*ton because that’s how the deemed savings are
	○ Updated to calculate actuals for kWh using IL TRM calcs
	○ Updated kW to calculate using cooling PCDR factor times cooling only savings.
	○ Updated kWh to show actuals to customer
	○ Updated incentive to calculate correctly based on incentive type ($/ton vs $/eff improve/ton)
Cstm Lighting
	○ Added green highlight if baseline autofill wattage is overrode
Cstm Lighting Controls
	○ Changed kWh to acutals
	○ Updated the custom lighting controls tab to the options in the IL TRM and have it auto calculate the savings using the IL TRM calc 
Cstm
	○ Updated all custom tabs to 100% incremental cost and 75% total cost (see Data Tables for named cap fields)
	○ Updated all custom tabs to new $/kWh rates
	○ Updated cost cap notifications to include incremental notice
General
	○ Updated all links to go between standard and custom and removed new construction reference
	○ Added popup note to Install Location
	○ Created new measure numbers for new measures
Export
	○ Added clean(trim( to payee info: company, payee address, payee city
Project Submission
	○ Updated submission instructions Step 2.b to "You may proceed with purchase and installation AFTER signing the offer" 
Template
	• Added Benefits column to measure tabs. Updated project CB to be sum of benefits at the measures level divided by the sum of total costs at the measure level. The benefits will already be weighted by their equipment EULs. 
Export
Updated linking since columns were moved around and new columns were added</t>
  </si>
  <si>
    <r>
      <t>Evergy Contact</t>
    </r>
    <r>
      <rPr>
        <sz val="11"/>
        <color rgb="FFFF0000"/>
        <rFont val="Arial"/>
        <family val="2"/>
      </rPr>
      <t>*</t>
    </r>
  </si>
  <si>
    <t>Contact First Name</t>
  </si>
  <si>
    <t>Last Name</t>
  </si>
  <si>
    <t>Primary Phone</t>
  </si>
  <si>
    <t xml:space="preserve">How to Print    </t>
  </si>
  <si>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</si>
  <si>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</si>
  <si>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t>General
	• Updated welcome tab, instruction tab, and equipment icons
Project Review
	• Removed new con lighting line
	• Updated block bidding notice to look at $250,000 total incentive
	• Moved Invoice and Installed Date fields to this tab
	• Updated incentive report and draft email buttons
	• Corrected link for project review tab
	• Add secondary TA info to list
Incentive Report
	• Updated to TRC logo
Template
	• Updated rate formula to not count if it says "select rate code" or it equal zero
Measure Numbers
	• Verified and updated old measure numbers if needed
Measures1
	• Added ranges for 1x8 ineff wattages and ineff and eff exit sign wattages
	• Updated 1x8 lines
	• Updated unit types
	• Updated exterior &gt; 400W to $100
Measures2
	• Corrected all the screw in dropdowns
	• Corrected 4' lamp 60W lamp wattage
	• Broke out retrofit kits and made the list smaller based on size of LED kit
	• Removed 5' and 7' types from exterior and parking garage, Also removed indicator of wall pack/canopy on exterior lighting
Data Tables
	• Removed Claudia from BDs
Cst Misc
	• Add peak shift measure to the end of this tab. To view/use we will have to unhide this row internally. $380/kW
TA/Contractor Info
	• Added option secondary contact
Std Tabs
	• Corrected font to all Arial in tabs
Std Lighting
	• Updated dropdowns so they cant be changed unless the info after it is deleted
Export
	• Removed NC lighting rows
Added secondary TA info to columns on the end</t>
  </si>
  <si>
    <t>Updated typo on TA tab, unlocked cell in project review tab, updated offer and completion language</t>
  </si>
  <si>
    <t>2.0.1</t>
  </si>
  <si>
    <t>Updated links to website to: https://www.evergy.com/ways-to-save/incentives/businessenergysavings
Updated sorting of lighting measures since it was incorrect</t>
  </si>
  <si>
    <t>RCx</t>
  </si>
  <si>
    <t>Service Provider</t>
  </si>
  <si>
    <t>Deemed kWh Savings</t>
  </si>
  <si>
    <t>Deemed kW Savings</t>
  </si>
  <si>
    <t>Spillover Deemed kWh Savings</t>
  </si>
  <si>
    <t>Spillover Deemed kW Savings</t>
  </si>
  <si>
    <t>Reporting Methodology</t>
  </si>
  <si>
    <t>Calculated Savings</t>
  </si>
  <si>
    <t>Deemed Savings</t>
  </si>
  <si>
    <t>Updated Std Measure Tables to have Reporting Methodology column
Add Reporting Type Column to Export
Updated Custom Calculated kWh and kW to the correct "Calcualted" columns in the Export
Updated PC summary kWh and kW summations so that they looked at Report Methodology column on Export
Corrected Template so that it is pulling in the correct kW (Calculated versus Deemed)
Fixed the arrows on the Equipment Input tab</t>
  </si>
  <si>
    <t>Incentive Type</t>
  </si>
  <si>
    <t>Total Custom</t>
  </si>
  <si>
    <t>N1S1</t>
  </si>
  <si>
    <t>N1S2</t>
  </si>
  <si>
    <t>N1S3</t>
  </si>
  <si>
    <t>N1S4</t>
  </si>
  <si>
    <t>N1S5</t>
  </si>
  <si>
    <t>N1S6</t>
  </si>
  <si>
    <t>N1S7</t>
  </si>
  <si>
    <t>N1S8</t>
  </si>
  <si>
    <t>MAIN1_N</t>
  </si>
  <si>
    <t>MAIN2_N</t>
  </si>
  <si>
    <t>MAIN3_N</t>
  </si>
  <si>
    <t>MAIN4_N</t>
  </si>
  <si>
    <t>MAIN5_N</t>
  </si>
  <si>
    <t>MAIN6_N</t>
  </si>
  <si>
    <t>MAIN7_N</t>
  </si>
  <si>
    <t>N2S2</t>
  </si>
  <si>
    <t>N2S3</t>
  </si>
  <si>
    <t>N2S4</t>
  </si>
  <si>
    <t>N2S5</t>
  </si>
  <si>
    <t>N2S6</t>
  </si>
  <si>
    <t>N2S7</t>
  </si>
  <si>
    <t>N2S1</t>
  </si>
  <si>
    <t>N2S8</t>
  </si>
  <si>
    <t>N3S1</t>
  </si>
  <si>
    <t>N3S2</t>
  </si>
  <si>
    <t>N3S3</t>
  </si>
  <si>
    <t>N3S4</t>
  </si>
  <si>
    <t>N3S5</t>
  </si>
  <si>
    <t>N3S6</t>
  </si>
  <si>
    <t>N3S7</t>
  </si>
  <si>
    <t>N3S8</t>
  </si>
  <si>
    <t>N4S1</t>
  </si>
  <si>
    <t>N4S2</t>
  </si>
  <si>
    <t>N4S3</t>
  </si>
  <si>
    <t>N4S4</t>
  </si>
  <si>
    <t>N4S5</t>
  </si>
  <si>
    <t>N4S6</t>
  </si>
  <si>
    <t>N4S7</t>
  </si>
  <si>
    <t>N4S8</t>
  </si>
  <si>
    <t>N4S9</t>
  </si>
  <si>
    <t>N5S1</t>
  </si>
  <si>
    <t>N5S2</t>
  </si>
  <si>
    <t>N5S3</t>
  </si>
  <si>
    <t>N5S4</t>
  </si>
  <si>
    <t>N5S5</t>
  </si>
  <si>
    <t>N5S6</t>
  </si>
  <si>
    <t>N5S7</t>
  </si>
  <si>
    <t>N5S8</t>
  </si>
  <si>
    <t>N6S1</t>
  </si>
  <si>
    <t>N6S2</t>
  </si>
  <si>
    <t>N6S3</t>
  </si>
  <si>
    <t>N6S4</t>
  </si>
  <si>
    <t>N6S5</t>
  </si>
  <si>
    <t>N6S6</t>
  </si>
  <si>
    <t>N6S7</t>
  </si>
  <si>
    <t>N6S8</t>
  </si>
  <si>
    <t>N7S1</t>
  </si>
  <si>
    <t>N7S2</t>
  </si>
  <si>
    <t>N7S3</t>
  </si>
  <si>
    <t>N7S4</t>
  </si>
  <si>
    <t>N7S5</t>
  </si>
  <si>
    <t>N7S6</t>
  </si>
  <si>
    <t>N7S7</t>
  </si>
  <si>
    <t>N7S8</t>
  </si>
  <si>
    <t>RCx Threshold</t>
  </si>
  <si>
    <t>Customer &amp; Building Information</t>
  </si>
  <si>
    <t>2.0.2</t>
  </si>
  <si>
    <t xml:space="preserve">Updated Std Flourescent Fixture replacement to have the size for the ineff and not the eff and upated the ineff dropdown to match retrofit kit size ranges
Made show detail savings and incentives shrink to fit
Updated current unit type for exterior and parking garge standard measures to Fixture </t>
  </si>
  <si>
    <t>Updated welcome tab</t>
  </si>
  <si>
    <t>Design Team Information</t>
  </si>
  <si>
    <t>Design Team Meeting</t>
  </si>
  <si>
    <t>Please fill out the Design Team information below.</t>
  </si>
  <si>
    <t>Electrical Engineer</t>
  </si>
  <si>
    <r>
      <t>Company</t>
    </r>
    <r>
      <rPr>
        <sz val="11"/>
        <color rgb="FFFF0000"/>
        <rFont val="Arial"/>
        <family val="2"/>
      </rPr>
      <t>*</t>
    </r>
  </si>
  <si>
    <t>Mechanical Engineer</t>
  </si>
  <si>
    <t>Architect</t>
  </si>
  <si>
    <t>TA/General Contractor</t>
  </si>
  <si>
    <t>Additional Contact</t>
  </si>
  <si>
    <t>Start</t>
  </si>
  <si>
    <t>Attendees</t>
  </si>
  <si>
    <t>Project ID:</t>
  </si>
  <si>
    <t>Agenda</t>
  </si>
  <si>
    <t>Additional Notes</t>
  </si>
  <si>
    <t>End</t>
  </si>
  <si>
    <t>Meeting Date:</t>
  </si>
  <si>
    <t>Site Address:</t>
  </si>
  <si>
    <t>Building Type:</t>
  </si>
  <si>
    <t xml:space="preserve">Building Code: </t>
  </si>
  <si>
    <t>Evergy BD:</t>
  </si>
  <si>
    <t>Project Description:</t>
  </si>
  <si>
    <t>New Construction Design Team Meeting</t>
  </si>
  <si>
    <t>3)</t>
  </si>
  <si>
    <t>Review Project Timeline</t>
  </si>
  <si>
    <t>4)</t>
  </si>
  <si>
    <t>Discuss Project Scope</t>
  </si>
  <si>
    <t>Next Steps</t>
  </si>
  <si>
    <t>Square Footage:</t>
  </si>
  <si>
    <t>Baseline LPD:</t>
  </si>
  <si>
    <t>Baseline Wattage:</t>
  </si>
  <si>
    <t>Custom Incentives</t>
  </si>
  <si>
    <t>Standard Incentives</t>
  </si>
  <si>
    <t>Eligible?</t>
  </si>
  <si>
    <t>Efficient Wattage Required:</t>
  </si>
  <si>
    <t>Whole Building Performance Incentive</t>
  </si>
  <si>
    <t>Interior Lighting Incentive</t>
  </si>
  <si>
    <t>Modelling Software &amp; Notes</t>
  </si>
  <si>
    <t>Applying?</t>
  </si>
  <si>
    <t>Whole Building Performance</t>
  </si>
  <si>
    <t>City Code</t>
  </si>
  <si>
    <t>County Code</t>
  </si>
  <si>
    <t>Baseline Code</t>
  </si>
  <si>
    <t>Watts/ Unit</t>
  </si>
  <si>
    <t>Qty</t>
  </si>
  <si>
    <t>Model Cost</t>
  </si>
  <si>
    <r>
      <t>New Construction Project Type</t>
    </r>
    <r>
      <rPr>
        <sz val="11"/>
        <color rgb="FFFF0000"/>
        <rFont val="Arial"/>
        <family val="2"/>
      </rPr>
      <t>*</t>
    </r>
  </si>
  <si>
    <t>WBP Incentive</t>
  </si>
  <si>
    <t>% Energy Savings</t>
  </si>
  <si>
    <t>Modeling Software</t>
  </si>
  <si>
    <t>WBP Incentive Rate ($/kWh)</t>
  </si>
  <si>
    <t>Complete the fields below to apply for a Whole Building Performance Incentive (WBP)</t>
  </si>
  <si>
    <t>Additional Details</t>
  </si>
  <si>
    <t>N02S01F02</t>
  </si>
  <si>
    <t>N02S01F03</t>
  </si>
  <si>
    <t>N02S01F01</t>
  </si>
  <si>
    <t>N02S02F01</t>
  </si>
  <si>
    <t>N02S02F02</t>
  </si>
  <si>
    <t>Waste Heat Factor (e)</t>
  </si>
  <si>
    <t>updated WHF to match IL TRM 8.0</t>
  </si>
  <si>
    <t>Incentive Input</t>
  </si>
  <si>
    <t>Incentive Categories</t>
  </si>
  <si>
    <t>New Construction Project Type</t>
  </si>
  <si>
    <t>New Building</t>
  </si>
  <si>
    <t>Building Addition</t>
  </si>
  <si>
    <t>Change of Purpose</t>
  </si>
  <si>
    <r>
      <t>New Building Type</t>
    </r>
    <r>
      <rPr>
        <sz val="11"/>
        <color rgb="FFFF0000"/>
        <rFont val="Arial"/>
        <family val="2"/>
      </rPr>
      <t>*</t>
    </r>
  </si>
  <si>
    <r>
      <t>Legal/Contractual Requirements</t>
    </r>
    <r>
      <rPr>
        <sz val="11"/>
        <color rgb="FFFF0000"/>
        <rFont val="Arial"/>
        <family val="2"/>
      </rPr>
      <t>*</t>
    </r>
  </si>
  <si>
    <t>Please fill out the information below. For the purposes of this application "Company" is the headquarters or primary office that is responsible for a given building/site where the project is being implemented. If there is not a higher business entity than the site where the project is being performed, then "Site" address and the customer "Company" address are the same.</t>
  </si>
  <si>
    <t>Introductions</t>
  </si>
  <si>
    <t>Process Outline</t>
  </si>
  <si>
    <t>a)</t>
  </si>
  <si>
    <t>New Construction Incentive Overview</t>
  </si>
  <si>
    <t>Identify Main Contact that will be submitting all incentive documentation</t>
  </si>
  <si>
    <t>Define Baseline</t>
  </si>
  <si>
    <t>b)</t>
  </si>
  <si>
    <t>c)</t>
  </si>
  <si>
    <t>d)</t>
  </si>
  <si>
    <t>e)</t>
  </si>
  <si>
    <t>Potential Custom Measures &amp; Notes</t>
  </si>
  <si>
    <t>816-382-8747</t>
  </si>
  <si>
    <t>Apply Upon Completion</t>
  </si>
  <si>
    <t>Multiple space types?</t>
  </si>
  <si>
    <t>Building Information**</t>
  </si>
  <si>
    <t>**If your building has multiple space types requirements may vary from the above scenario</t>
  </si>
  <si>
    <t>N3S9</t>
  </si>
  <si>
    <t>Baseline Cost</t>
  </si>
  <si>
    <t>Efficient Cost</t>
  </si>
  <si>
    <t>WBP Incentives</t>
  </si>
  <si>
    <t>fixed the total summation on the Project Summary tab. It was reading the wrong column</t>
  </si>
  <si>
    <t>App:</t>
  </si>
  <si>
    <t>Main</t>
  </si>
  <si>
    <t>N02S02F03</t>
  </si>
  <si>
    <t>N02S02F04</t>
  </si>
  <si>
    <t>N02S02F05</t>
  </si>
  <si>
    <t>N02S02F06</t>
  </si>
  <si>
    <t>N02S02F07</t>
  </si>
  <si>
    <t>N02S02F08</t>
  </si>
  <si>
    <t>N02S02F09</t>
  </si>
  <si>
    <t>N02S02F10</t>
  </si>
  <si>
    <t>N02S02F11</t>
  </si>
  <si>
    <t>N02S02F12</t>
  </si>
  <si>
    <t>N02S02F13</t>
  </si>
  <si>
    <t>N02S02F14</t>
  </si>
  <si>
    <t>N02S02F15</t>
  </si>
  <si>
    <t>N02S02F16</t>
  </si>
  <si>
    <t>N02S02F17</t>
  </si>
  <si>
    <t>N02S02F18</t>
  </si>
  <si>
    <t>N02S02F19</t>
  </si>
  <si>
    <t>N02S02F20</t>
  </si>
  <si>
    <t>N02S02F21</t>
  </si>
  <si>
    <t>N02S02F22</t>
  </si>
  <si>
    <t>N02S02F23</t>
  </si>
  <si>
    <t>N02S02F24</t>
  </si>
  <si>
    <t>N02S02F25</t>
  </si>
  <si>
    <t>N02S02F26</t>
  </si>
  <si>
    <t>N02S02F27</t>
  </si>
  <si>
    <t>N02S02F28</t>
  </si>
  <si>
    <t>N02S02F29</t>
  </si>
  <si>
    <t>N02S02F30</t>
  </si>
  <si>
    <t>N02S02F31</t>
  </si>
  <si>
    <t>N02S02F32</t>
  </si>
  <si>
    <t>N02S02F33</t>
  </si>
  <si>
    <t>N02S02F34</t>
  </si>
  <si>
    <t>N02S02F35</t>
  </si>
  <si>
    <t>N02S02F36</t>
  </si>
  <si>
    <t>N02S02F37</t>
  </si>
  <si>
    <t>N02S02F38</t>
  </si>
  <si>
    <t>N02S02F39</t>
  </si>
  <si>
    <t>N02S02F40</t>
  </si>
  <si>
    <t>N02S02F41</t>
  </si>
  <si>
    <t>N02S02F42</t>
  </si>
  <si>
    <t>N02S02F43</t>
  </si>
  <si>
    <t>N02S02F44</t>
  </si>
  <si>
    <t>N02S02F45</t>
  </si>
  <si>
    <t>N02S02F46</t>
  </si>
  <si>
    <t>N02S02F47</t>
  </si>
  <si>
    <t>N02S02F48</t>
  </si>
  <si>
    <t>N02S02F49</t>
  </si>
  <si>
    <t>N02S02F50</t>
  </si>
  <si>
    <t>N02S02F51</t>
  </si>
  <si>
    <t>N02S02F52</t>
  </si>
  <si>
    <t>N02S02F53</t>
  </si>
  <si>
    <t>N02S02F54</t>
  </si>
  <si>
    <t>N02S02F55</t>
  </si>
  <si>
    <t>N02S02F56</t>
  </si>
  <si>
    <t>N02S02F57</t>
  </si>
  <si>
    <t>N02S02F58</t>
  </si>
  <si>
    <t>N02S02F59</t>
  </si>
  <si>
    <t>N02S02F60</t>
  </si>
  <si>
    <t>N02S03F01</t>
  </si>
  <si>
    <t>N02S03F02</t>
  </si>
  <si>
    <t>N02S03F03</t>
  </si>
  <si>
    <t>N02S03F04</t>
  </si>
  <si>
    <t>N02S03F05</t>
  </si>
  <si>
    <t>N02S03F06</t>
  </si>
  <si>
    <t>N02S03F07</t>
  </si>
  <si>
    <t>N02S03F08</t>
  </si>
  <si>
    <t>N02S03F09</t>
  </si>
  <si>
    <t>N02S03F10</t>
  </si>
  <si>
    <t>N02S03F11</t>
  </si>
  <si>
    <t>N02S03F12</t>
  </si>
  <si>
    <t>N02S03F13</t>
  </si>
  <si>
    <t>N02S03F14</t>
  </si>
  <si>
    <t>N02S03F15</t>
  </si>
  <si>
    <t>N02S03F16</t>
  </si>
  <si>
    <t>N02S03F17</t>
  </si>
  <si>
    <t>N02S03F18</t>
  </si>
  <si>
    <t>N02S03F19</t>
  </si>
  <si>
    <t>N02S03F20</t>
  </si>
  <si>
    <t>N02S03F21</t>
  </si>
  <si>
    <t>N02S03F22</t>
  </si>
  <si>
    <t>N02S03F23</t>
  </si>
  <si>
    <t>N02S03F24</t>
  </si>
  <si>
    <t>N02S03F25</t>
  </si>
  <si>
    <t>N02S03F26</t>
  </si>
  <si>
    <t>N02S03F27</t>
  </si>
  <si>
    <t>N02S03F28</t>
  </si>
  <si>
    <t>N02S03F29</t>
  </si>
  <si>
    <t>N02S03F30</t>
  </si>
  <si>
    <t>N02S03F31</t>
  </si>
  <si>
    <t>N02S03F32</t>
  </si>
  <si>
    <t>N02S03F33</t>
  </si>
  <si>
    <t>N02S03F34</t>
  </si>
  <si>
    <t>N02S03F35</t>
  </si>
  <si>
    <t>N02S03F36</t>
  </si>
  <si>
    <t>N02S04F01</t>
  </si>
  <si>
    <t>N02S04F02</t>
  </si>
  <si>
    <t>N02S04F03</t>
  </si>
  <si>
    <t>N02S04F04</t>
  </si>
  <si>
    <t>N02S04F05</t>
  </si>
  <si>
    <t>N02S04F06</t>
  </si>
  <si>
    <t>N02S04F07</t>
  </si>
  <si>
    <t>Total Interior Lighting</t>
  </si>
  <si>
    <t>Total Standard</t>
  </si>
  <si>
    <t>Total WBP</t>
  </si>
  <si>
    <t>N05S01F01</t>
  </si>
  <si>
    <t>N05S01F02</t>
  </si>
  <si>
    <t>N05S01F03</t>
  </si>
  <si>
    <t>N05S01F04</t>
  </si>
  <si>
    <t>N05S01F05</t>
  </si>
  <si>
    <t>N05S01F06</t>
  </si>
  <si>
    <t>N05S01F07</t>
  </si>
  <si>
    <t>N05S01F08</t>
  </si>
  <si>
    <t>N05S01F09</t>
  </si>
  <si>
    <t>N05S01F10</t>
  </si>
  <si>
    <t>N05S01F11</t>
  </si>
  <si>
    <t>N05S01F12</t>
  </si>
  <si>
    <t>N05S01F13</t>
  </si>
  <si>
    <t>N05S01F14</t>
  </si>
  <si>
    <t>N05S01TB1</t>
  </si>
  <si>
    <t>COMPTERMS_N</t>
  </si>
  <si>
    <t>COMPTA_N</t>
  </si>
  <si>
    <t>COMPBUILD_N</t>
  </si>
  <si>
    <t>COMPPAY_N</t>
  </si>
  <si>
    <t>COMPMEASURE_N</t>
  </si>
  <si>
    <t>COMPDTM_N</t>
  </si>
  <si>
    <t>Design Team</t>
  </si>
  <si>
    <t>DTM</t>
  </si>
  <si>
    <t>Cstmr &amp; Bldg Info</t>
  </si>
  <si>
    <t>Captures ID</t>
  </si>
  <si>
    <t>PPF 
(µmol/s)</t>
  </si>
  <si>
    <t>Baseline Information</t>
  </si>
  <si>
    <t>Base Watts</t>
  </si>
  <si>
    <t>Eff 
Watts</t>
  </si>
  <si>
    <t>Totals</t>
  </si>
  <si>
    <t>EFF PPF 
(µmol/s)</t>
  </si>
  <si>
    <t>Base PPF 
(µmol/s)</t>
  </si>
  <si>
    <t>Space Area 
(sq. ft.)</t>
  </si>
  <si>
    <t>Not used right now</t>
  </si>
  <si>
    <t>NC Incentive</t>
  </si>
  <si>
    <t>Total Required Test</t>
  </si>
  <si>
    <t>10% LPD Reduction Req.</t>
  </si>
  <si>
    <t>NC Lighting Incentive ($/Watt Reduced)</t>
  </si>
  <si>
    <t>NC Lighting Cost Cap</t>
  </si>
  <si>
    <t>% below code</t>
  </si>
  <si>
    <t>% Below Code</t>
  </si>
  <si>
    <t>WI Incr. Cost</t>
  </si>
  <si>
    <t>Act Incr. Cost</t>
  </si>
  <si>
    <t>Efficiency Type</t>
  </si>
  <si>
    <t>WI Incremental Cost ($/sq ft)</t>
  </si>
  <si>
    <t>Heat Pump - Water Source</t>
  </si>
  <si>
    <t>Water Loop Heat Pump</t>
  </si>
  <si>
    <t>Efficient Air Compressor</t>
  </si>
  <si>
    <t>If this project is a Grow Facility select the customized "Grow Facility" pathway otherwise, select "Traditional Building Types".</t>
  </si>
  <si>
    <t>Tests/Rates/Caps</t>
  </si>
  <si>
    <t>WBP Energy Savings % Below Baseline</t>
  </si>
  <si>
    <t>Incentive Rate</t>
  </si>
  <si>
    <t>10-25%</t>
  </si>
  <si>
    <t>≥25%</t>
  </si>
  <si>
    <t>eQuest</t>
  </si>
  <si>
    <t>Energy Pro</t>
  </si>
  <si>
    <t>Visual DOE</t>
  </si>
  <si>
    <t>EnergyPlus</t>
  </si>
  <si>
    <t>Trane TRACE</t>
  </si>
  <si>
    <t>Energy Modeling Software</t>
  </si>
  <si>
    <t>DOE-2</t>
  </si>
  <si>
    <t>Carrier HAP</t>
  </si>
  <si>
    <t>WBP Cap</t>
  </si>
  <si>
    <t>N04S09F01</t>
  </si>
  <si>
    <t>N04S09F02</t>
  </si>
  <si>
    <t>N04S09F03</t>
  </si>
  <si>
    <t>N04S09F04</t>
  </si>
  <si>
    <t>N04S09F05</t>
  </si>
  <si>
    <t>N04S09F06</t>
  </si>
  <si>
    <t>N04S09F07</t>
  </si>
  <si>
    <t>N04S09F08</t>
  </si>
  <si>
    <t>N04S09F09</t>
  </si>
  <si>
    <t>N04S09F10</t>
  </si>
  <si>
    <r>
      <t>Model Completion Date</t>
    </r>
    <r>
      <rPr>
        <sz val="11"/>
        <color rgb="FFFF0000"/>
        <rFont val="Arial"/>
        <family val="2"/>
      </rPr>
      <t>*</t>
    </r>
  </si>
  <si>
    <r>
      <t>Gross Square Footage</t>
    </r>
    <r>
      <rPr>
        <sz val="11"/>
        <color rgb="FFFF0000"/>
        <rFont val="Arial"/>
        <family val="2"/>
      </rPr>
      <t>*</t>
    </r>
  </si>
  <si>
    <r>
      <t>Conditioned Square Footage</t>
    </r>
    <r>
      <rPr>
        <sz val="11"/>
        <color rgb="FFFF0000"/>
        <rFont val="Arial"/>
        <family val="2"/>
      </rPr>
      <t>*</t>
    </r>
  </si>
  <si>
    <r>
      <t># of Stories Above Grade</t>
    </r>
    <r>
      <rPr>
        <sz val="11"/>
        <color rgb="FFFF0000"/>
        <rFont val="Arial"/>
        <family val="2"/>
      </rPr>
      <t>*</t>
    </r>
  </si>
  <si>
    <t>New Construction Percentage*</t>
  </si>
  <si>
    <t>Existing Renovation Percentage*</t>
  </si>
  <si>
    <t>Year Built (Existing Building)*</t>
  </si>
  <si>
    <t>Section Progress</t>
  </si>
  <si>
    <r>
      <t>Please provide a brief narrative of the energy efficiency goals targeted for the project and describe how design and equipment selection helped the project toward this goal.</t>
    </r>
    <r>
      <rPr>
        <sz val="11"/>
        <color rgb="FFFF0000"/>
        <rFont val="Arial"/>
        <family val="2"/>
      </rPr>
      <t>*</t>
    </r>
  </si>
  <si>
    <t>WBP</t>
  </si>
  <si>
    <t>kWh (WBP-Other Measures)</t>
  </si>
  <si>
    <t>Efficient</t>
  </si>
  <si>
    <t>Peak kW</t>
  </si>
  <si>
    <t>kW (WBP-Other Measures)</t>
  </si>
  <si>
    <t>Peak kW Savings</t>
  </si>
  <si>
    <t>COMPWBP_N</t>
  </si>
  <si>
    <t>N03S04-N03S06</t>
  </si>
  <si>
    <t>N04S01-N04S06</t>
  </si>
  <si>
    <t>N04S09</t>
  </si>
  <si>
    <t>N03S03</t>
  </si>
  <si>
    <t>Efficient Information</t>
  </si>
  <si>
    <t>Negative Incremental Cost</t>
  </si>
  <si>
    <t>Payback over 18 months, Custom Measure</t>
  </si>
  <si>
    <t>Payback Over 18 Months</t>
  </si>
  <si>
    <t>Payback under 18 months, RCx Measure</t>
  </si>
  <si>
    <t>RCx Payback over 18 months</t>
  </si>
  <si>
    <t>Custom Payback under 18 months</t>
  </si>
  <si>
    <t>Identify Incentive Category Eligibility and Energy Efficiency Opportunities</t>
  </si>
  <si>
    <t>Assumed Unknown</t>
  </si>
  <si>
    <t>Assumed Public Sector</t>
  </si>
  <si>
    <t>Assumed Assisted Living</t>
  </si>
  <si>
    <t>Assumed Manufacturing Facility</t>
  </si>
  <si>
    <t>Trade Ally or Contractor (Check)</t>
  </si>
  <si>
    <t>Trade Ally / General Contractor</t>
  </si>
  <si>
    <t>Additional Contact 1</t>
  </si>
  <si>
    <t>Additional Contact 2</t>
  </si>
  <si>
    <t>Design Team Options</t>
  </si>
  <si>
    <t>N05S01F15</t>
  </si>
  <si>
    <t>Select TA/Contractor</t>
  </si>
  <si>
    <t>Pre-Approval Required Incentives</t>
  </si>
  <si>
    <t>Apply Upon Completion Incentives</t>
  </si>
  <si>
    <t>Company Information</t>
  </si>
  <si>
    <r>
      <t xml:space="preserve">Incentive Cap: </t>
    </r>
    <r>
      <rPr>
        <sz val="11"/>
        <color theme="1" tint="0.249977111117893"/>
        <rFont val="Arial"/>
        <family val="2"/>
      </rPr>
      <t>50% of total cost</t>
    </r>
  </si>
  <si>
    <r>
      <rPr>
        <b/>
        <sz val="11"/>
        <color theme="1" tint="0.249977111117893"/>
        <rFont val="Arial"/>
        <family val="2"/>
      </rPr>
      <t xml:space="preserve">Requirements: </t>
    </r>
    <r>
      <rPr>
        <sz val="11"/>
        <color theme="1" tint="0.249977111117893"/>
        <rFont val="Arial"/>
        <family val="2"/>
      </rPr>
      <t>Must be at least 10% below required baseline</t>
    </r>
  </si>
  <si>
    <r>
      <t xml:space="preserve">Incentive: </t>
    </r>
    <r>
      <rPr>
        <sz val="11"/>
        <color theme="1" tint="0.249977111117893"/>
        <rFont val="Arial"/>
        <family val="2"/>
      </rPr>
      <t>per unit basis</t>
    </r>
  </si>
  <si>
    <r>
      <t xml:space="preserve">Incentive Cap: </t>
    </r>
    <r>
      <rPr>
        <sz val="11"/>
        <color theme="1" tint="0.249977111117893"/>
        <rFont val="Arial"/>
        <family val="2"/>
      </rPr>
      <t>100% of incremental cost</t>
    </r>
  </si>
  <si>
    <r>
      <t xml:space="preserve">Incentive: </t>
    </r>
    <r>
      <rPr>
        <sz val="11"/>
        <color theme="1" tint="0.249977111117893"/>
        <rFont val="Arial"/>
        <family val="2"/>
      </rPr>
      <t>per kWh saved basis</t>
    </r>
    <r>
      <rPr>
        <b/>
        <sz val="11"/>
        <color theme="1" tint="0.249977111117893"/>
        <rFont val="Arial"/>
        <family val="2"/>
      </rPr>
      <t xml:space="preserve"> (</t>
    </r>
    <r>
      <rPr>
        <sz val="11"/>
        <color theme="1" tint="0.249977111117893"/>
        <rFont val="Arial"/>
        <family val="2"/>
      </rPr>
      <t>based on end use)</t>
    </r>
  </si>
  <si>
    <r>
      <t xml:space="preserve">Incentive: </t>
    </r>
    <r>
      <rPr>
        <sz val="11"/>
        <color theme="1" tint="0.249977111117893"/>
        <rFont val="Arial"/>
        <family val="2"/>
      </rPr>
      <t>Based on % kWh savings below baseline</t>
    </r>
  </si>
  <si>
    <r>
      <t xml:space="preserve">Incentive Cap: </t>
    </r>
    <r>
      <rPr>
        <sz val="11"/>
        <color theme="1" tint="0.249977111117893"/>
        <rFont val="Arial"/>
        <family val="2"/>
      </rPr>
      <t>$50,000 per site per program year</t>
    </r>
  </si>
  <si>
    <t>Please review the estimated Construction Completion date below and update it if it is not accurate</t>
  </si>
  <si>
    <t>Completed Whole Building Performance Info (if eligible)</t>
  </si>
  <si>
    <t>Reviewed Custom Measures Input tab (if applicable)</t>
  </si>
  <si>
    <t>Completed Standard measures (if applicable)</t>
  </si>
  <si>
    <t>Completed Interior Lighting measures (if applicable)</t>
  </si>
  <si>
    <t>Verify the above Incentive Summary is accurate. Did your Custom measure scope change from the original plan? If so, please review and update the measures, quantities, and costs associated with each line item.</t>
  </si>
  <si>
    <t>1. Verify Installed Measures</t>
  </si>
  <si>
    <r>
      <t xml:space="preserve">Please review the Completion Form for accuracy. If adjustments need to be made, go to </t>
    </r>
    <r>
      <rPr>
        <u/>
        <sz val="12"/>
        <color theme="8"/>
        <rFont val="Arial"/>
        <family val="2"/>
      </rPr>
      <t>Incentive Input</t>
    </r>
    <r>
      <rPr>
        <sz val="12"/>
        <rFont val="Arial"/>
        <family val="2"/>
      </rPr>
      <t xml:space="preserve"> and update your measures accordingly. </t>
    </r>
  </si>
  <si>
    <t>RCx and Custom</t>
  </si>
  <si>
    <t>New Building Type</t>
  </si>
  <si>
    <t>Op Hrs, Sq Ft</t>
  </si>
  <si>
    <t>Exist Building Type</t>
  </si>
  <si>
    <t>Legal Requirments</t>
  </si>
  <si>
    <t>Space Number</t>
  </si>
  <si>
    <t>NC Project Type</t>
  </si>
  <si>
    <t>Procure/Constr Phase</t>
  </si>
  <si>
    <t>Design/Build Phase</t>
  </si>
  <si>
    <t>Plan/Develop Phase</t>
  </si>
  <si>
    <t>Completion/RECFR</t>
  </si>
  <si>
    <t>Trade Ally / General Contractor Contact</t>
  </si>
  <si>
    <t>WBP Eligible Yes</t>
  </si>
  <si>
    <t>WBP Eligible No</t>
  </si>
  <si>
    <t>10 - 25% kWh Savings</t>
  </si>
  <si>
    <t>≥ 25% kWh Savings</t>
  </si>
  <si>
    <t>4₵ / kWh</t>
  </si>
  <si>
    <t>3₵ / kWh</t>
  </si>
  <si>
    <t>Note if the below Design Team members attended and add in any additional attendees and their contact information.</t>
  </si>
  <si>
    <t>Provisional Measure</t>
  </si>
  <si>
    <t>Interior Lighting  - Traditional Lighting</t>
  </si>
  <si>
    <t>Interior Lighting  - Grow Facility</t>
  </si>
  <si>
    <t>Sub-Program</t>
  </si>
  <si>
    <t>Spillover Base Cost</t>
  </si>
  <si>
    <t>Spillover Incremental Cost</t>
  </si>
  <si>
    <t>Spillover Baseline Cost</t>
  </si>
  <si>
    <t>Principal building activity</t>
  </si>
  <si>
    <t>Education</t>
  </si>
  <si>
    <t>CBECS 2012 Midwest Electricity Energy Intensity (kWh/sq ft)</t>
  </si>
  <si>
    <t>CBECS Building Activity</t>
  </si>
  <si>
    <t>Public Assembly</t>
  </si>
  <si>
    <t>Vacant</t>
  </si>
  <si>
    <t>Public assembly</t>
  </si>
  <si>
    <t>Enclosed and strip malls</t>
  </si>
  <si>
    <t>Retail (other than mall)</t>
  </si>
  <si>
    <t>Mercantile</t>
  </si>
  <si>
    <t>Lodging</t>
  </si>
  <si>
    <t>Outpatient</t>
  </si>
  <si>
    <t>Inpatient</t>
  </si>
  <si>
    <t>Health care</t>
  </si>
  <si>
    <t>Food service</t>
  </si>
  <si>
    <t>Food sales</t>
  </si>
  <si>
    <t>Warehouse and storage</t>
  </si>
  <si>
    <t>Service</t>
  </si>
  <si>
    <t>Religious worship</t>
  </si>
  <si>
    <t>Public order and safety</t>
  </si>
  <si>
    <t xml:space="preserve">Provisional </t>
  </si>
  <si>
    <t>WBP (claimed)</t>
  </si>
  <si>
    <t>Online</t>
  </si>
  <si>
    <t>Legal/Contractual Requirements*</t>
  </si>
  <si>
    <t>Plan/Develop Phase Start</t>
  </si>
  <si>
    <t>Plan/Develop Phase End</t>
  </si>
  <si>
    <t>Design/Build Phase Start</t>
  </si>
  <si>
    <t>Design/Build Phase End</t>
  </si>
  <si>
    <t>Procure/Constr Phase Start</t>
  </si>
  <si>
    <t>Procure/Constr Phase End</t>
  </si>
  <si>
    <t>Completion Date</t>
  </si>
  <si>
    <t>1. Custom Incentive Submittal Attachment Steps</t>
  </si>
  <si>
    <t>After your application has been emailed you can expect to see a confirmation email within 5 business days. You will receive an offer and may proceed with purchase and installation of the pre-approved equipment AFTER signing the offer.</t>
  </si>
  <si>
    <t>Custom Incentive Pre-Approval Submission</t>
  </si>
  <si>
    <t>Updated Standard Measure kWh/unit to 4 decimals
Updated rounding in Standard &amp; Custom kWh calculations to 4 decimals</t>
  </si>
  <si>
    <t>2.03</t>
  </si>
  <si>
    <t>Updated Export file. Corrected Std Lighitng annual hours and quanitiy columns 
Now showing kWh on Export to 4 decimal places
Updated dropdown options for exterior dusk to dawn and parking garage standard measures to have Ineff dropdowns based on nominal wattage 
Removed Baseline Code from Main PC summary
Updated PC Summary kWh fields to show 4 decimal places</t>
  </si>
  <si>
    <t>2.1.0</t>
  </si>
  <si>
    <t>Service Provider / Contractor (Check)</t>
  </si>
  <si>
    <t>Recommended Standard Incentive Categories</t>
  </si>
  <si>
    <t>32410301</t>
  </si>
  <si>
    <t>32410302</t>
  </si>
  <si>
    <t>32410303</t>
  </si>
  <si>
    <t>32410304</t>
  </si>
  <si>
    <t>32410305</t>
  </si>
  <si>
    <t>32410306</t>
  </si>
  <si>
    <t>32410307</t>
  </si>
  <si>
    <t>32411801</t>
  </si>
  <si>
    <t>32411802</t>
  </si>
  <si>
    <t>32411803</t>
  </si>
  <si>
    <t>32411804</t>
  </si>
  <si>
    <t>32411805</t>
  </si>
  <si>
    <t>32411806</t>
  </si>
  <si>
    <t>32411807</t>
  </si>
  <si>
    <t>32411808</t>
  </si>
  <si>
    <t>32411809</t>
  </si>
  <si>
    <t>32411810</t>
  </si>
  <si>
    <t>22310508</t>
  </si>
  <si>
    <t>22310516</t>
  </si>
  <si>
    <t>32411901</t>
  </si>
  <si>
    <t>32411900</t>
  </si>
  <si>
    <t>MBSharp@trccompanies.com</t>
  </si>
  <si>
    <t>Please review the Design Team Meeting notes below</t>
  </si>
  <si>
    <t>Application Type</t>
  </si>
  <si>
    <t>Expiration Date</t>
  </si>
  <si>
    <t>Expiration Status</t>
  </si>
  <si>
    <t>All</t>
  </si>
  <si>
    <t>FOOT1</t>
  </si>
  <si>
    <t>FOOT2</t>
  </si>
  <si>
    <t>FOOT3</t>
  </si>
  <si>
    <t>FOOT4</t>
  </si>
  <si>
    <t>FOOT5</t>
  </si>
  <si>
    <t>FOOT6</t>
  </si>
  <si>
    <t>FOOTDISCLAIM_N</t>
  </si>
  <si>
    <t>FOOTDISCLAIM</t>
  </si>
  <si>
    <t/>
  </si>
  <si>
    <t>LED Fixture Description (Brand/Model/Type)</t>
  </si>
  <si>
    <t>Moved application version and expiration date from M01S01 to template tab
moved all other template fields that apply across apps to here as well</t>
  </si>
  <si>
    <t>DX Unit ≥135 kbtu &amp; &lt;240 kbtu (≥11.25 tons &amp; &lt;20 tons)</t>
  </si>
  <si>
    <t>DX Unit ≥65 kbtu &amp; &lt;135 kbtu (≥5.42 tons &amp; &lt;11.25 tons)</t>
  </si>
  <si>
    <t>DX Unit &lt;65 kbtu (&lt;5.42 tons)</t>
  </si>
  <si>
    <t>ASHP &lt;65kbtu (&lt;5.42 tons) - Split System</t>
  </si>
  <si>
    <t>ASHP &lt;65kbtu (&lt;5.42 tons) - Single Package System</t>
  </si>
  <si>
    <t>ASHP ≥65 kbtu &amp; &lt;135 kbtu (≥5.42 tons &amp; &lt;11.25 tons)</t>
  </si>
  <si>
    <t>DX Unit ≥760 kbtu (&gt;63.3 tons)</t>
  </si>
  <si>
    <t>ASHP ≥135 kbtu &amp; &lt;240 kbtu (≥11.25 tons &amp; &lt;20 tons)</t>
  </si>
  <si>
    <t>FOOTDISCLAIM_X</t>
  </si>
  <si>
    <t>General
	• Duplicated main tabs and renamed for NC
	• Started working on naming fields in Template
	• Added handbook link to DTM and Incentive tabs
	• Updated all footers
	• Updated version number
	• Updated expiration date
Welcome tab
	• Updated expiration date and expiration notice to formulas
	• Added welcome tab and links
Instruction tab
	• Added instruction tab
Template
	• Made account number required when Completion Form is active
	• Deleted formula for Benefits in WBP row
Top Banner
	• Changed offer and completion formulas to ACTIVEOFFER_N and ACTIVECOML_N or whatever they are
Data Tables
	• Updated Brett's email to MBSharp@trccompanies.com
	• Change all footer named fields to the Data tables tab
	• Update all references to read to that field including the first tab
Measures1_N
	• Added IECC baselines for HVAC measures that look at selected IECC code in PC summary
	• Added additional ASHP for split vs package
	• Removed PTACs and PTHPs. Too much effort to add at the moment 
	• Updated measure numbers
	• Updated HVAC measure names to include tons
Measures2_N
	• Moved all new con custom measures to this new tab
	• Removed lighting controls measures since it is required by code
	• Named tables
	• Named measure lists
	• Updated end use naming
	• Removed RTUs from list as they are standard
	• Updated cooking end use to food services
	• Updated measure numbers
	• Added water cooled chiller
LPD Tables_N
	• Add WI TRM incremental cost table
	• Add WHFe to the table
	• Update operating hours
	• Make sure to update the IL TRM Building Type assumption
	• Updated IECC baselines based on Chris' email and Jaime's updated document (find in Engineering IECC Code folder)
Customer/Building tab
	• Make sure account numbers are not required in template and make sure they don’t have a red star by the title
DTM Summary 
	• Added conditional formatting to WBP based on sq ft
	• Check marks autocheck eligible or not
	• Add DT contact to Attendees list
	• Added conditional formatting to date fields. If blank then orange
	• Updated error message for date fields
	• Added data validation to meeting date
	• Unlock custom description box
	• Unlock additional notes box
	• Make sure project number shows up on DTM
	• Created toggle yes/no fields
All Measure tabs
	• Added baseline to show details
	• Updated all formulas look at ACTIVEBLOCK to ACTIVEBLOCK_N
Standard Refrig/HVAC/Food Services
	• Updated all dropdowns and formulas to ready NC tables
Grow Facility
	• Did NOT add WHFe to calcs
	• Updated cost cap to 50% total cost
	• Added % below code column
	• Added status to look if 10% reduction requirement is met
	• Add incremental cost calc using actual costs
	• Updated Caps notices
	• Hard coded EUL and End Use
	• CB Ratio at measure level referencing incremental cost and not total cost
	• Expanded the PPF to XX.X format
	• Tried to make eff and ineff titles more obvious
WBP tab
	• Named fields
	• Added calculations
	• Added data validation
	• Created dropdown for models
	• Add in table for incentive rates
	• Added conditional formatting to show/hide fields when appropriate
	• Added section percentage complete
	• Updated backed kWh and kW to show negative kW if the modelled kW is lower than the sum of the kW claimed on the other measures
Traditional Lighting tab
	• Add WHFe to the calcs
	• Updated cost cap to 50% total cost
	• Added % below code column
	• Added status to look if 10% reduction requirement is met
	• Add incremental cost calc using WI TRM
	• Updated Caps notices
	• CB Ratio at measure level referencing incremental cost and not total cost
	• Updated payback so it reads incremental 
	• Updated baseline LPD formulas
	• Updated WI incremental formula to include &lt;.4
Standard HVAC tab
	• Updated all data validation to NC tables
	• Updated headers and formatted lines to make efficiency details easier to read
Custom Tabs
	• Updated measure dropdowns
	• Updated caps
	• Removed min and max kWh incentive columns
	• Removed calculated kW
	• Updated status to look at correct CB and Payback
	• I removed thermal storage from the Misc tab. I hope that’s ok…
Payment
	• Updated dropdown to match Jotform options
	• Added dropdown field to select particular TA
	• Fix title reference
Project Review tab
	• Updated Incentive Summary
	• Updated field summary formulas and incomplete indicators
	• Updated all links
	• Update tax entity and tax ID to pull in correct fields
	• Fix title reference
Project Report
	• Updated Estimated incentive title to not read bonusactive field
	• Fix title reference
PC Summary
	• Currently using CBECS 2012 Midwest (kWh/sq ft * sq ft * 5%) savings to calculate the provisional measure (Ameren Sq Ft*1.8*0.6) Used interior lighting end use for kW estimate
	• Added Preliminary to the dropdown status
	• Renamed block bid field as ACTIVEBLOCK_N
	• Renamed offer to ACTIVEOFFER_N
	• Renamed completion to ACTIVECOMPLETION_N
	• Fix PC Summary title reference
	• Fix spillover kW, units, total cost, baseline cost formulas
	• Highlight WBP in red if kWh and kW are negative
Offer Form
	• Made sure fields were named on the Offer
	• Updated all formulas and links
	• Fix title reference
Completion Form
	• Made sure fields were named on the Offer
	• Updated all formulas and links
	• Fix title reference
	• Fix the tax ID and tax number formulas
	• Right justify the payee fields
Export
	• Added measure numbers for provisional and WBP</t>
  </si>
  <si>
    <t>DX Unit ≥240 kbtu &amp; &lt;760 kbtu (≥20 tons &amp; &lt;63.3 tons)</t>
  </si>
  <si>
    <t>2.3.20
Changed version number to 2.1.0
Combined customer and site info into one tab
Combined building and study info into one tab
Started linking and naming cells
Added an "Evergy Approved" cell to the Service Provider info tab - to be filled in the PC Summary with date approved and locked on customer-facing tab
2.4.20
Added Measure_X tab and inserted measure drop down and info tables
2.5.20
Named fillable fields
Updated measure tabs
Started updating Template
2.6.20
General
	• Updated names of main progress tabs
	• Updated links for welcome, instruction, contact, offer form, completion form and all progress tabs
	• Copied progress tabs to each tab
Building Optimization Tab
	• Formatted and Data Validated Baseline kWh, Efficient kWh, Measure Cost
	• Added in Equipment Incentive formula and formatted cell
	• Added Total Incentive formula
	• Fixed Section Cost to sum the correct column
	• Created dropdown for Incentive Type in Data Tables
	• Added in Cost Type, I didn’t autofill because it created a circular reference with the Equipment Incentive and Incentive Type
	• Made Incentive Type, Base Detail, Efficient Detail columns smaller
	• Updated Study Incentive so it does not show incentive for Custom measure
	• Updated Total Incentive so it does not error out if Study Incentive has words in it
	• Added incremental check to Equipment Incentive
2.7.20
General
	• Linked arrows
2.8.20-2.18.20
General
	• Find the link that you created due to copying from Ameren application
Template/Measure Tabs
	• Make sure CB test has been updated to match Main application. Benefits column on the measure tabs and then that is summed on the Template and used in the CB test. Change the CB test formula on the Template
	• Incentive level CB, separate CB for custom and RCx
	• Measure level payback
	• Add alert, if study cost = """ or zero then "Complete RCx Study" or something of the sort
Measure Tabs
	• Remove flip between RCx and Custom
	• Reformat tabs to the following
		○ Inputs: Efficient Measure, Efficient Description, Baseline Description, Quantity, Baseline kWh, Efficient kWh, Total Cost.
		○ Outputs: Incentive Type, kWh Savings, Equipment Incentive, Study Incentive
Offer/Completion Forms
	• Make sure language matches Main application
Customer &amp; Building Information 
	• For the sake of my sanity can we format this section the same as the main application? So the Customer Info has the information for the company and the Building Info has the site address and contact and everything else under it
	• Type of Control System still has an option that says explain below but the detail field is on the next tab. Not sure how you want to fix it
	• You might be able to get the additional info in 1 row of 5 fields and 1 row of 4 fields
Study tab
Update the project types to the three options since that is what we ended up with</t>
  </si>
  <si>
    <t>Grow Facility</t>
  </si>
  <si>
    <t>2.0.4</t>
  </si>
  <si>
    <t>Updated measure tabs to show deemed or calculated based on column in show details
Updated template to show kwh/kw based on deemed verusus calculated designation</t>
  </si>
  <si>
    <t>Added Grow Facility to space type dropdown, updated traditional lighting to recoginize if grow facility is selected and added status saying completion on Grow Facility tab, Link space type to the backend in Export</t>
  </si>
  <si>
    <t>2.1.1</t>
  </si>
  <si>
    <t xml:space="preserve">	• Create RCx cities list
	• Fix zipcodes dropdown
	• Left justify final eng notes
	• Fix costs on offer and completion
	• Unlock SP Approval date
		○ Changed formatting for both fields to date
	• Increase field size for ### fields on project summary
Fix missing additional info </t>
  </si>
  <si>
    <t>Updated BD info link from front end to PC Summary</t>
  </si>
  <si>
    <t>Energy Recovery Ventilation</t>
  </si>
  <si>
    <t>32410501</t>
  </si>
  <si>
    <t>ASHP ≥240kbtu (≥20 tons)</t>
  </si>
  <si>
    <t>2.0.5</t>
  </si>
  <si>
    <t xml:space="preserve">Adjusted expiration date to 12/31/2020
Welcome tab
	• Add smaller sized welcome image (See marketing folder)
	• Update PACE link to the following per Chris' email request https://energy.mo.gov/assistance-programs/pace
Template
	• Get rid of LM Proprietary note in far off column
Updated Standard Measures per TRM 2020.5.1
	○ 21111106, 31111103, 31111107, 21111136, 21111137, 21111238, 21111239, 21110107, 21111738, 21111739, 21111705
Standard HVAC
	• Update efficiency titles to match NC application format
Lighting Controls
	• Update the calculations so they are using the WHFe based on building type
Measures1_M
	• Update HVAC measure names to include tons? This may mess up copy and paste functionality between version so we will want to warn the PCs about it --&gt; could we have the transfer tool look at the TRM name to identify what to copy/paste?
• Add new measure to application and Captures
	○ Custom -&gt; HVAC -&gt; Energy Recovery Ventilation (see IL TRM 4.4.27 for EUL=15, End Use = HVAC Controls w/ Optimization, Units = cfm)
• All Custom Measure tabs
	○ Update status column. Currently if other is selected then it errors out and we have to remove that part of the formula to have it not error out. Update to the formula to say if Other AND end use is blank then error. If other and end use and EUL is filled in then it is ok and the incentive can populate
Welcome tab
	• Updated version number to v2.0.5 for Std/Cstm app
	• Change hover over language for the PACE link to  "View PACE Financing Information"
Standard HVAC tab
	• Changed ASHP to &gt;= 20 tons
Measures3 tab
	• Moved spillover to B103 in data tables table including named range so it doesn't break in NC and RCx apps
Standard and Custom Lighting Controls tabs
	• Added alert to the status that tell user to fill out building type if it is blank. 
Export
	• Added primary key to new column for standard measures so that we can upload
Custom tabs
	• Added conditional formatting to the EUL and End Use Factor columns that colors orange if it is blank
</t>
  </si>
  <si>
    <t>Potential Standard Measures &amp; Notes</t>
  </si>
  <si>
    <t>Potential Interior Lighting Measures &amp; Notes</t>
  </si>
  <si>
    <t>Site Contact:</t>
  </si>
  <si>
    <t>Site Phone:</t>
  </si>
  <si>
    <t>Site Email:</t>
  </si>
  <si>
    <t>Welcome
Updated PACE link to https://energy.mo.gov/assistance-programs/pace
Custom HVAC
	• Custom -&gt; HVAC -&gt; Energy Recovery Ventilation (see IL TRM 4.4.27 for EUL=15, End Use = HVAC Controls w/ Optimization, Units = cfm) added to application and Captures
Export
	• Added condition if for "Custom Payback" and "Custom Cost Benefit" fields are "NA" show blank
All Custom tabs
	• Updated status column to say if Other AND (end use OR EUL) is blank then error otherwise incentive populates
PC Summary
	• Made an alert in the PC summary to ensure that the WBP tab is unhidden if &gt;100,000
DTM Summary
	• Extended Notes section for the Project Summary
	• Added notes sections for lighting and standard
Added customer contacts to summary and attendees</t>
  </si>
  <si>
    <t>2.1.2</t>
  </si>
  <si>
    <t>• Unlocked bill credit field on the Payment tab
• Formatted initial and revised study received columns on the RCx Export as a date
• Added additional contacts to SP info tab
Payment
	• Added additional contacts to SP payment section
Within the Agreement under Terms and Conditions, the phrase “Evergy Energy Efficiency Program” has no reference. The Energy Efficiency Programs  which are listed on evergy.com are Income Eligible Multi-Family and Renewables Direct.
Replace with Evergy Business Energy Savings Program
Added electric heat to measure list</t>
  </si>
  <si>
    <t>Event</t>
  </si>
  <si>
    <t>!</t>
  </si>
  <si>
    <t>Incentive Override</t>
  </si>
  <si>
    <t>Automotive Services</t>
  </si>
  <si>
    <t>Entertainment/Recreation</t>
  </si>
  <si>
    <t>Gas Station</t>
  </si>
  <si>
    <t>IT/Data Center</t>
  </si>
  <si>
    <t>HVAC Controls / EMS without Peak</t>
  </si>
  <si>
    <t>HVAC Controls / EMS with Peak</t>
  </si>
  <si>
    <t>Building Info
	• Added “Event” to the How did you hear about the Program? List
	• Added Automotive Services, Entertainment/Recreation, Gas Station, and IT/Data Center to Building Types with associated WHF and CF from IL TRM v8.0
PC Summary
	• Added PC notification section
		○ Added alert to Building Type on PC Summary when building type says Other. "Other - Update to appropriate Bldg Type."
Std Lighting
	• Added T5HO 4' 54W to Ineff. Type and Ineff. Details.
	• Updated / increased HID limits on the standard lighting measures are set to include the ballast factored wattage (example: HIDs &lt;175W should allow 210W for ineff wattage)
Cstm HVAC
	• Added HVAC Controls/EMS with Peak and without Peak
Cstm Lighting
	• Fixed the End Use Factor formula on Custom Interior Lighting tab so that it uses "Ext Lighting w/ Peak" instead of "Ext Lighting w/Peak"
Updated bonus incentive measures
Cstm HVAC
	• New Measure: Temperature Setback
		○ End Use = HVAC Controls Optimization without Peak Demand Reduction
	• New Measure: Programmable Thermostat
		○ End Use = HVAC Controls Optimization without Peak Demand Reduction
Export
	• Added Bonus Incentive Amount to column AT
All Measure tabs
	• Added incentive override column to show details
	• Updated incentive formula to look at override field, if &gt;$0 then use override field otherwise do what it normally does</t>
  </si>
  <si>
    <t>Project Notifications:</t>
  </si>
  <si>
    <r>
      <t xml:space="preserve">Incentive Cap: </t>
    </r>
    <r>
      <rPr>
        <sz val="11"/>
        <color theme="1" tint="0.249977111117893"/>
        <rFont val="Arial"/>
        <family val="2"/>
      </rPr>
      <t>100% of total cost</t>
    </r>
  </si>
  <si>
    <t>Lauren Hoover</t>
  </si>
  <si>
    <t>Dana Gordon</t>
  </si>
  <si>
    <t>Dgordon@trccompanies.com</t>
  </si>
  <si>
    <t>816-266-0742</t>
  </si>
  <si>
    <t>Grow Area 1</t>
  </si>
  <si>
    <t>Grow Area 2</t>
  </si>
  <si>
    <t>Grow Area 3</t>
  </si>
  <si>
    <t>Grow Area Description</t>
  </si>
  <si>
    <t>Grow Area 4</t>
  </si>
  <si>
    <t>22311902</t>
  </si>
  <si>
    <t>Energy-Efficient Roofing</t>
  </si>
  <si>
    <t>100 Sq. Ft. of Roofing</t>
  </si>
  <si>
    <t>100 CFM</t>
  </si>
  <si>
    <t>100 Sq. Ft. Insulated Area</t>
  </si>
  <si>
    <t>22310509</t>
  </si>
  <si>
    <t>32410601</t>
  </si>
  <si>
    <t>32410201</t>
  </si>
  <si>
    <t>Activate WBP</t>
  </si>
  <si>
    <t>N02S04TB1</t>
  </si>
  <si>
    <t>N02S04TB2</t>
  </si>
  <si>
    <t>N02S04TB3</t>
  </si>
  <si>
    <t>N02S04TB4</t>
  </si>
  <si>
    <t>N02S04TB5</t>
  </si>
  <si>
    <t>N02S04TB6</t>
  </si>
  <si>
    <t>N02S04TB7</t>
  </si>
  <si>
    <t>N02S04TB8</t>
  </si>
  <si>
    <t>N02S04TB9</t>
  </si>
  <si>
    <t>N02S04TB10</t>
  </si>
  <si>
    <t>N02S04TB11</t>
  </si>
  <si>
    <t>N02S04TB12</t>
  </si>
  <si>
    <t>N02S04TB13</t>
  </si>
  <si>
    <t>N02S04TB14</t>
  </si>
  <si>
    <t>N02S04TB15</t>
  </si>
  <si>
    <t>Interior Lighting Incentive - Multiple space types?</t>
  </si>
  <si>
    <t>Interior Lighting Incentive - Applying?</t>
  </si>
  <si>
    <t>Standard Incentives - Applying?</t>
  </si>
  <si>
    <t>Standard Incentives - HVAC</t>
  </si>
  <si>
    <t>Standard Incentives - Refrigeration</t>
  </si>
  <si>
    <t>Standard Incentives - Food Services</t>
  </si>
  <si>
    <t>Custom Incentives - Applying?</t>
  </si>
  <si>
    <t>Whole Building Performance Incentive - Applying?</t>
  </si>
  <si>
    <t>Attendees - Site Contact</t>
  </si>
  <si>
    <t>Attendees - TA/GC</t>
  </si>
  <si>
    <t>Attendees - Architect</t>
  </si>
  <si>
    <t>Attendees - MechE</t>
  </si>
  <si>
    <t>Attendees - EE</t>
  </si>
  <si>
    <t>Attendees - Add1</t>
  </si>
  <si>
    <t>Attendees - Add2</t>
  </si>
  <si>
    <t>2.2.0</t>
  </si>
  <si>
    <t>DTM Summary
	• Updated standard cap to 100% of total cost instead of incremental cost
• Added multi-family to Building Types, used IL TRM v9 MF - Mid Rise WHFe and CF
All Measure tabs
	• Added incentive override column to show details
	• Updated incentive formula to look at override field, if &gt;$0 then use override field
	• Unlocked all Incentive Override cells
General
	• Removed interior lighting from the payback and benefit cost tests because the lighting is considered "prescriptive"
		○ "Measure Benefit/Cost Test- Each non-prescriptive Project must pass the Total Resource Cost Test by having a value of 1.0 or greater. Total Resource Cost Test value equals the present value of the benefits of each Measure over the useful life of each Measure divided by the incremental cost to implement the Project Measures. The benefits of the Measure include the Company’s estimated avoided costs." - Program Tariff - Sheet 1.74	
Cstm HVAC
	• Current Measure - HVAC Controls/EMS 
		○ Added two measures, one with HVAC Controls Optimization w/o Peak Demand Reduction and one HVAC Controls Optimization w/ Peak Demand Reduction
Custom Misc
	• Added energy-efficient roof measure, Building Shell, EUL 15
Std
	• Extended Standard HVAC lines from 20 to 35 lines
Lighting
	• Added more spaces type areas to the grow facility lighting section similar to the regular lighting tab…update export
		○ Added to front end tabs (Added 3 new sections)
		○ Added to Export
		○ Added to Template
PC Summary
	• Updated provisional measure so that it also looks to see if status = final. If it does then zero out. An exception project made it through without needing a completion form 
	• Added Lauren Hoover and Dana Gordon to PC/BD dropdown
	• Added alert if NC Type is Change of Purpose and New = Existing that says "New &amp; Existing Building Types are the same. Verify change of purpose."
	• If the baseline code says "Invalid" due to city and zip code mismatches, conditional format those two fields red, also added a notification to the PC summary to check City and Zip when Baseline Code is invalid
Export
	• If blank, make date fields blank
	•Unit for Provisional Measure zeros out when status = final and/or completion form active = yes
	• Added rounding to the cost fields in the backend (2 decimal places)
MEASURES2_N
Updated several custom measure units based on Taylor Cheek email in OneNote</t>
  </si>
  <si>
    <t>Municipal Building</t>
  </si>
  <si>
    <t>IL TRM v9.0 Lighting Coincidence Factor</t>
  </si>
  <si>
    <t>IL TRM v9.0 Operating Hours</t>
  </si>
  <si>
    <t>IL TRM v9.0 WHFe</t>
  </si>
  <si>
    <t>IL TRM v9.0 Building Area Assumption</t>
  </si>
  <si>
    <t>Assumed flowering crops</t>
  </si>
  <si>
    <t>Averaged MF high/mid rise</t>
  </si>
  <si>
    <t>2019 M&amp;V</t>
  </si>
  <si>
    <t>Base Total Annual kWh</t>
  </si>
  <si>
    <t>New Total Annual kWh</t>
  </si>
  <si>
    <t>VRF - Air Cooled &lt;65,000 Btuh</t>
  </si>
  <si>
    <t>VRF - Air Cooled 65,000 ≤ Btuh &lt; 135,000</t>
  </si>
  <si>
    <t>VRF - Air Cooled 135,000 ≤ Btuh &lt; 240,000</t>
  </si>
  <si>
    <t>VRF - Air Cooled ≥ 240,000 Btuh</t>
  </si>
  <si>
    <t>Input Data for Program Years 2020-2023</t>
  </si>
  <si>
    <t>MO Metro</t>
  </si>
  <si>
    <t>MO West</t>
  </si>
  <si>
    <t>Utility</t>
  </si>
  <si>
    <t xml:space="preserve">$/kWh </t>
  </si>
  <si>
    <t xml:space="preserve">$/kW-yr </t>
  </si>
  <si>
    <t>Air-Cooled Chiller with Condenser &lt; 150 tons</t>
  </si>
  <si>
    <t>Air-Cooled Chiller with Condenser ≥ 150 tons</t>
  </si>
  <si>
    <t>Path A - Water-Cooled Positive Displacement (Reciprocating, Rotary, Screw, Scroll) Chiller &lt; 75 tons</t>
  </si>
  <si>
    <t>Path A - Water-Cooled Positive Displacement (Reciprocating, Rotary, Screw, Scroll) Chiller 75 - 150 tons</t>
  </si>
  <si>
    <t>Path A - Water-Cooled Positive Displacement (Reciprocating, Rotary, Screw, Scroll) Chiller 150 - 300 tons</t>
  </si>
  <si>
    <t>Path A - Water-Cooled Positive Displacement (Reciprocating, Rotary, Screw, Scroll) Chiller ≥ 300 tons</t>
  </si>
  <si>
    <t>Path A - Water-Cooled Centrifugal Chiller &lt; 150 tons</t>
  </si>
  <si>
    <t>Path A - Water-Cooled Centrifugal Chiller 150 - 300 tons</t>
  </si>
  <si>
    <t>Path A - Water-Cooled Centrifugal Chiller 300 - 600 tons</t>
  </si>
  <si>
    <t>Path A - Water-Cooled Centrifugal Chiller ≥ 600 tons</t>
  </si>
  <si>
    <t>Water-Cooled Centrifugal Chiller &lt; 150 tons</t>
  </si>
  <si>
    <t>Water-Cooled Centrifugal Chiller ≥ 600 tons</t>
  </si>
  <si>
    <t>IPLV</t>
  </si>
  <si>
    <t>Water-Cooled Positive Displ. Chiller &lt; 75 tons</t>
  </si>
  <si>
    <t>Sort A-Z</t>
  </si>
  <si>
    <t>Efficiency Unit</t>
  </si>
  <si>
    <t>Base</t>
  </si>
  <si>
    <t>EE</t>
  </si>
  <si>
    <t>Full-Load</t>
  </si>
  <si>
    <t>Column19</t>
  </si>
  <si>
    <t>Column20</t>
  </si>
  <si>
    <t>Water-Cooled Positive Displ. Chiller 75 ≤ tons &lt; 150</t>
  </si>
  <si>
    <t>Water-Cooled Positive Displ. Chiller 150 ≤ tons &lt; 300</t>
  </si>
  <si>
    <t>Water-Cooled Centrifugal Chiller 150 ≤ tons &lt; 300</t>
  </si>
  <si>
    <t>Water-Cooled Centrifugal Chiller 300 ≤ tons &lt; 400</t>
  </si>
  <si>
    <t>Water-Cooled Centrifugal Chiller 400 ≤ tons &lt; 600</t>
  </si>
  <si>
    <t>Water-Cooled Positive Displ. Chiller 300 ≤ tons &lt; 600</t>
  </si>
  <si>
    <t>Water-Cooled Positive Displ. Chiller ≥ 600 tons</t>
  </si>
  <si>
    <t>Territory</t>
  </si>
  <si>
    <t>VRF - Air Cooled &lt; 65 kbtu 
(&lt; 5.42 ton)</t>
  </si>
  <si>
    <t>VRF - Air Cooled 65 ≤ kBtu &lt; 135 
(5.42 ≤ tons &lt; 11.25)</t>
  </si>
  <si>
    <t>VRF - Air Cooled 135 ≤ kBtu &lt; 240 
(11.25 ≤ tons &lt; 20)</t>
  </si>
  <si>
    <t>VRF - Air Cooled ≥ 240 kbtu 
(≥ 20 tons)</t>
  </si>
  <si>
    <t>WHFd</t>
  </si>
  <si>
    <t>Heating Tons</t>
  </si>
  <si>
    <t>ELECHEAT</t>
  </si>
  <si>
    <t>General
	• Updated version to 2.2.0
	• Added check for expiration if Offer and Completion Forms are showing
	• Added calculated kW fields to all measure tabs
	• Move all backend site collateral over to new site including T&amp;Cs. Update all links to backend site to the NEW backend site link
	• Updated avoided cost tables
	• Updated expiration date to 12/31/2021
Welcome
	• Added general link to all EE programs to the Welcome tab
MEASURES1_M
	• Removed Reach-in Refrigerator and Freezer measures
	• Added new Standard lighting and HVAC measures
	• Added two columns to record additional Efficiency data for HVAC measures
MEASURES3_M
	• Removed T8 and T5 from New Fixture dropdown
	• Added Building Shell custom measure
	• Updated units
All Measure Tabs
	• Removed kWh Min and Max columns and references from incentive formula
	• Integrate check in all lighting/lighting control calcs that look at the space heating/conditioning dropdown and whether to apply WHFe in the calcs
		○ If Space Conditioning Type = Electric Heat Only, Natural Gas Heat Only, or Unconditioned, then WHF = 1.0 for interior lighting and lighting controls
Data Tables
	• Updated WHF and CF to IL TRM v9.0 and EM&amp;V Light Logger study
	• Added WHFd to building type table
	• Added ELECHEAT column to Space Conditioning for ASHP, PTHP, and VRF calculated kWh formulas
	• Added new end use to end use table/dropdown in app and Captures "HVAC"
Custom Lighting Controls
	• Matched savings calculation to IL TRM v9.0
		○ Added High End Trim measures
Custom
	• Removed unit columns from the front end and moved to the backend for all non-lighting custom tabs
	• VFD for Pump &amp; VFD for Fan EULs updated to 15 years based on VSD measures in the IL TRM v9
	• Updated PCDR Factors table to align with new values 
	• Update data validation for annual kWh fields to say numbers only for non-lighting tabs
Bldg Info Tab
	• Added municipal building to building type list; assumed IN TRM 2015 Public Sector WHF and CF
Std Lighting
	• Expanded standard lighting to 30 measure lines
	• Updated fluorescent fixture organization so that it is more specific to fixture type and lamp count
	• Added 5' and 6' options to T12 and T8 retrofit options
	• Removed equivalency footages from 4' and 8' lamp/fixture Ineff dropdowns
	• Added incandescent and CFL Ineff. Options for Exit Sign
	• Updated calculated kW and kWh formulas to match source TRMs
Std HVAC
	• Fixed rows so that footer is on line 200
	• Fixed the baseline EER values for the ASHP measures
	• Added column to show details to record additional efficiency units and heating tons
	• Updated deemed and calculated savings
	• Updated Data Validation for min/max front end efficiency values
PC Summary
	• Removed LM From Captures ID
	• Add Lauren Hoover and Dana Gordon to PC/BD dropdown
	• Added check for engineers to make sure custom non-lighting units are filled in in Notifications section
	• Added Secondary TA section
Export
	• Added rounding to the cost fields in the backend (2 decimal places)
	• Added custom calculated kW to Deemed kW column
	• Added additional efficiency and heating tons to Base and Eff descriptions for Standard HVAC</t>
  </si>
  <si>
    <t>32411811</t>
  </si>
  <si>
    <t>32411812</t>
  </si>
  <si>
    <t>32411813</t>
  </si>
  <si>
    <t>32411814</t>
  </si>
  <si>
    <t>32411815</t>
  </si>
  <si>
    <t>32411816</t>
  </si>
  <si>
    <t>32411817</t>
  </si>
  <si>
    <t>32411818</t>
  </si>
  <si>
    <t>32411819</t>
  </si>
  <si>
    <t>32411820</t>
  </si>
  <si>
    <t>32411821</t>
  </si>
  <si>
    <t>32411822</t>
  </si>
  <si>
    <r>
      <t>The Lighting Schedule is designed to reflect a COMcheck</t>
    </r>
    <r>
      <rPr>
        <vertAlign val="superscript"/>
        <sz val="12"/>
        <color theme="1"/>
        <rFont val="Arial"/>
        <family val="2"/>
      </rPr>
      <t>TM</t>
    </r>
    <r>
      <rPr>
        <sz val="12"/>
        <color theme="1"/>
        <rFont val="Arial"/>
        <family val="2"/>
      </rPr>
      <t xml:space="preserve">. To learn more go to </t>
    </r>
    <r>
      <rPr>
        <u/>
        <sz val="12"/>
        <color theme="8"/>
        <rFont val="Arial"/>
        <family val="2"/>
      </rPr>
      <t>https://www.energycodes.gov/comcheck</t>
    </r>
    <r>
      <rPr>
        <sz val="12"/>
        <color theme="1"/>
        <rFont val="Arial"/>
        <family val="2"/>
      </rPr>
      <t xml:space="preserve">.
Please enter the project lighting schedules per space type in the sections below as applicable. </t>
    </r>
    <r>
      <rPr>
        <b/>
        <sz val="12"/>
        <color theme="1"/>
        <rFont val="Arial"/>
        <family val="2"/>
      </rPr>
      <t>Note:</t>
    </r>
    <r>
      <rPr>
        <sz val="12"/>
        <color theme="1"/>
        <rFont val="Arial"/>
        <family val="2"/>
      </rPr>
      <t xml:space="preserve"> If the lighting schedule for any space types exceeds thirty (30) fixtures, please download this supplementary lighting schedule worksheet </t>
    </r>
    <r>
      <rPr>
        <u/>
        <sz val="12"/>
        <color theme="8"/>
        <rFont val="Arial"/>
        <family val="2"/>
      </rPr>
      <t>here</t>
    </r>
    <r>
      <rPr>
        <sz val="12"/>
        <color theme="1"/>
        <rFont val="Arial"/>
        <family val="2"/>
      </rPr>
      <t>.</t>
    </r>
  </si>
  <si>
    <t>32410202</t>
  </si>
  <si>
    <t>General
	• Added check for expiration if Offer and Completion Forms are showing
	• Added calculated kW fields to all measure tabs
	• Updated all links to backend site to the NEW backend site link
	• Updated PCDR Factors table to align with new values 
	• Added HVAC to end use table/dropdown
	• Updated measure end use assignments 
LPD Tables
	• Updated WHF, operating hours, and CF to IL TRM v9.0 values
	• Reviewed EM&amp;V Light Logger study in regards to WHF_CF_HOU assumptions
Welcome
	• Added general link to all EE programs to the Welcome tab
DTM
	• Removed Refrigeration from Standard Incentives check boxes
Custom
	• Removed unit columns from the front end and move to the backend for all non-lighting custom tabs
	• Added missing units check
Measure Tabs
	• Updated all background kW and kWh fields to 4 decimal places
Project Review
	• Removed Standard Refrigeration from Incentive Summary Table
Standard HVAC
	• Updated to match Standard HVAC on Standard tab
PC Summary
	• Added missing units notice
Export
Added Custom calculated kW to Deemed kW field</t>
  </si>
  <si>
    <t>2.3.0</t>
  </si>
  <si>
    <t>General
	• Added check for expiration if Offer and Completion Forms are showing
	• Added calculated kW fields to all measure tabs
	• Updated holiday calendar
	• Updated top-left corner Incentive to show LS&amp;R separately when applicable
Template
	• Changed "---" to 0 if incentive is zero
Welcome
	• Added general link to all EE programs to the Welcome tab
All Measure tabs
	• Added incentive override column to show details
	• Updated incentive formula to look at override field, if &gt;$0 then use override field otherwise do what it normally does
Building Optimization
	• Changed HVAC Controls/EMS change end use to HVAC Controls / EMS with Peak
	• New Measure: HVAC Controls / EMS without Peak
	• New Measure: Temperature Setback
		○ End Use = HVAC Controls Optimization without Peak Demand Reduction
	• New Measure: Programmable Thermostat
		○ End Use = HVAC Controls Optimization without Peak Demand Reduction
Compressed Air
	• Added Leak Survey &amp; Repair tab
	• Updated first line on Compressed Air RCx tab for Leak Survey &amp; Repair
PC Summary
	• Add Lauren Hoover and Dana Gordon to PC/BD dropdown
	• Removed Sam Cready from PC dropdown
	• Added clear study cost warning if LS&amp;R only project
	• Added reminder to input SP Approval Date
Export
	• Added rounding to the cost fields in the backend (2 decimal places)
	• Added actual kW to deemed kW field</t>
  </si>
  <si>
    <t>2.3.1</t>
  </si>
  <si>
    <t>●Corrected Custom Lighting data validation to allow integers from 0 to 8760.
It previously allowed negative numbers.</t>
  </si>
  <si>
    <t>Base Quantity</t>
  </si>
  <si>
    <t>●Updated Custom Lighting headers G16, M16 to specify "Base" in fixture type and quantity.</t>
  </si>
  <si>
    <t>●Updated Standard Lighting Controls Input Message to "Enter the total number of sensors or sq. ft. as specified in Quantity Type" and changed Data Validation to remove maximum cap on quantity.</t>
  </si>
  <si>
    <t>●Changed language in Required Documents to specify the W-9 needs to be revision Oct 2018 or later.</t>
  </si>
  <si>
    <t>●Updated Custom Refrigeration kWh fields to show commas.</t>
  </si>
  <si>
    <t>Main, RCx</t>
  </si>
  <si>
    <t>Variable Name</t>
  </si>
  <si>
    <t>Payment Agreement Checkbox*</t>
  </si>
  <si>
    <t>Construction Complete</t>
  </si>
  <si>
    <t>C Corporation</t>
  </si>
  <si>
    <t>S Corporation</t>
  </si>
  <si>
    <t>Trust Estate</t>
  </si>
  <si>
    <t>Sole/Individual Proprietor</t>
  </si>
  <si>
    <t>●Updated VERSION</t>
  </si>
  <si>
    <t>Program Cycle</t>
  </si>
  <si>
    <t>Program Year</t>
  </si>
  <si>
    <t>Revision # within Program Year</t>
  </si>
  <si>
    <t>Commercial Ice Machines, 101-300 lb/day</t>
  </si>
  <si>
    <t>Commercial Ice Machines, 301-500 lb/day</t>
  </si>
  <si>
    <t>Commercial Ice Machines, 501-1000 lb/day</t>
  </si>
  <si>
    <t>Commercial Ice Machines, 1001-1500 lb/day</t>
  </si>
  <si>
    <t>Commercial Ice Machines, &gt;1500 lb/day</t>
  </si>
  <si>
    <t>Installation of a new high efficiency ice machine generating small ice cubes (2 oz or smaller).</t>
  </si>
  <si>
    <t>Equipment is listed on the Food Service Technology Center's Qualifying Appliance List or listed as ENERGY STAR-qualified.</t>
  </si>
  <si>
    <t>Minimum efficiency units compliant with California Appliance Standards (Title 20)</t>
  </si>
  <si>
    <t>Column21</t>
  </si>
  <si>
    <t>Main, NC</t>
  </si>
  <si>
    <t>Logan Markham</t>
  </si>
  <si>
    <t>816-206-7070</t>
  </si>
  <si>
    <t>LMarkham@trccompanies.com</t>
  </si>
  <si>
    <t>Randy Jameson</t>
  </si>
  <si>
    <t>Joan Nganga</t>
  </si>
  <si>
    <t>●Updated NC LPD to use incremental cost in CB test when baseline cost is provided.</t>
  </si>
  <si>
    <r>
      <t xml:space="preserve">The Site Contact is: </t>
    </r>
    <r>
      <rPr>
        <sz val="11"/>
        <color rgb="FFFF0000"/>
        <rFont val="Arial"/>
        <family val="2"/>
      </rPr>
      <t>*</t>
    </r>
  </si>
  <si>
    <t>The Site Contact is:</t>
  </si>
  <si>
    <t>Company Contact</t>
  </si>
  <si>
    <t>●Update M02S04F02, N02S03F20, X02S03F11 and dependent cells to include option for TA/Contractor Contact as well as Company Contact.</t>
  </si>
  <si>
    <t>Main, NC, RCx</t>
  </si>
  <si>
    <t>●Add project submission link for Jotform in M05-S02-1.</t>
  </si>
  <si>
    <t>●Update 'Template'!$H$18:$H$26 to count CB Ratios in Column AT instead of incentive field.</t>
  </si>
  <si>
    <t>●Correct formulas in 'Template'!C143:D144 to reference all measure types and measure count instead of incentive count. Three new variables were created for measure counts in 'Template'!H27:H29.</t>
  </si>
  <si>
    <t>●Updated formula for PROJSTATUS to count MEASTOTALALL instead of L29.</t>
  </si>
  <si>
    <t>●Updated table TAXENTITY to match list of options for Tax Entity in Captures projects' Payee section.</t>
  </si>
  <si>
    <t>●Updated PC, BD, Engineer name tables</t>
  </si>
  <si>
    <t>●Updated air-cooled chiller part-load rating to IPLV from EER.</t>
  </si>
  <si>
    <t>●Updated Versioning Guidelines in Changelog</t>
  </si>
  <si>
    <t>●Updated Custom demand factors and incentive rates</t>
  </si>
  <si>
    <t>●Updated existing Standard incentive Rates</t>
  </si>
  <si>
    <t>●Added new Standard measures</t>
  </si>
  <si>
    <t>●Updated TEMPLATE, TEMPLATE_N, TEMPLATE_RCx columns A:E &amp; PROGRESSSTATUS so that percent % aligns with required fields based on project input and submission status.</t>
  </si>
  <si>
    <t>●Removed asterisk from M02S04F01, M02S04F17 for TEMPLATE updates.</t>
  </si>
  <si>
    <t>●Three new variables were created for measure counts in 'Template_N'!H27:H30.</t>
  </si>
  <si>
    <t>●Updated conditional formatting of Invoice Date, Install Date fields in Project Review.</t>
  </si>
  <si>
    <t>●Updated 4 lamp replacement measure names to specify "Incand."</t>
  </si>
  <si>
    <t>●Added data validation to Cities list for NC field N02S03F03</t>
  </si>
  <si>
    <t>●Added new contact info sheet N01-S03 and updated all contact references in NC app.</t>
  </si>
  <si>
    <t>●Updated Expiration Date to 12/31/2022</t>
  </si>
  <si>
    <t>●Updated Trade Ally Resources links in Main, NC, and RCx apps.</t>
  </si>
  <si>
    <t>●Updated Payment sheets so that blanks do not display "0" value.</t>
  </si>
  <si>
    <t>●Updated Send Email links in each application.</t>
  </si>
  <si>
    <t>●Included IFERROR function to each section total % in template sheets.</t>
  </si>
  <si>
    <t>RCx TA Options</t>
  </si>
  <si>
    <t>ENERGY STAR Commercial Ice Machine, 101-300 lb/day</t>
  </si>
  <si>
    <t>ENERGY STAR Commercial Ice Machine, 301-500 lb/day</t>
  </si>
  <si>
    <t>ENERGY STAR Commercial Ice Machine, 501-1000 lb/day</t>
  </si>
  <si>
    <t>ENERGY STAR Commercial Ice Machine, 1001-1500 lb/day</t>
  </si>
  <si>
    <t>ENERGY STAR Commercial Ice Machine, &gt;1500 lb/day</t>
  </si>
  <si>
    <t>Ana Ruelas</t>
  </si>
  <si>
    <t>Nominal Incentive</t>
  </si>
  <si>
    <t>2.3.2</t>
  </si>
  <si>
    <t>● Added 1, 2 lamp 59W T8 fixture options to "LED Fixture/Retrofit Kit Replacing" measures.</t>
  </si>
  <si>
    <t>● Two new columns added to Standard measure details for Nominal Incentive and Caps to match kWh Incentive and Caps in Custom tabs.</t>
  </si>
  <si>
    <t>● Added conditional formatting to incentive fields to italicize whenever an incentive is capped or overridden. Message is now displayed above measures whenever any measures are capped due to cost.</t>
  </si>
  <si>
    <t>● Update Caps column in all Custom tabs to work with new modified incentive formatting.</t>
  </si>
  <si>
    <t>● Added missing conditional formatting for 'M03-S06'!AN18:AN37.</t>
  </si>
  <si>
    <t>● Updated Units columns for hidden Miscellaneous measure to remove "Missing!" error from blank measure.</t>
  </si>
  <si>
    <t>● Corrected kW formula in 'M04-S03'!$BB:$BB to not multiple by qty of units.</t>
  </si>
  <si>
    <t>● Corrected ENERGY STAR capitalization in Standard measures</t>
  </si>
  <si>
    <t>● Unlocked Heating Tons column in Details of Standard HVAC measure tabs</t>
  </si>
  <si>
    <t>● Removed Asterisk from always-filled State field in Building Info tabs so percent complete is 0% when applications are opened.</t>
  </si>
  <si>
    <t>● Added Ana to the PC dropdown list in Data Tables tab.</t>
  </si>
  <si>
    <t>Added missing measures summary to 'N03-S03-2b'!R12:AC14.</t>
  </si>
  <si>
    <t>Three-Phase</t>
  </si>
  <si>
    <t>Single-Phase</t>
  </si>
  <si>
    <t>kVA</t>
  </si>
  <si>
    <t>Electrical Phase Types</t>
  </si>
  <si>
    <t>Transformer LF</t>
  </si>
  <si>
    <t>Medium-Voltage Dry-Type Distribution Transformers</t>
  </si>
  <si>
    <t>One-Phase</t>
  </si>
  <si>
    <t>1PH_Eff</t>
  </si>
  <si>
    <t>20-45 kV</t>
  </si>
  <si>
    <t>46-95 kV</t>
  </si>
  <si>
    <t>≥96 kV</t>
  </si>
  <si>
    <t>3PH_Eff</t>
  </si>
  <si>
    <t>20-45 kV2</t>
  </si>
  <si>
    <t>46-95 kV3</t>
  </si>
  <si>
    <t>≥96 kV4</t>
  </si>
  <si>
    <t>Liquid-Immersed Distribution Transformers</t>
  </si>
  <si>
    <t>Low-Voltage Dry-Type Distribution Transformers</t>
  </si>
  <si>
    <t>2.3.3</t>
  </si>
  <si>
    <t>●Changed Custom payback requirement from 1.5 to 1 year.</t>
  </si>
  <si>
    <t>●Added "Custom Lite" Transformers measure under Miscellaneous.
●Added column to table BUILDINGTYPE for transformer load factors.
●Create new tables TFBASELV, TFBASELI, TFBASEMV for baseline transformer efficiencies.</t>
  </si>
  <si>
    <t>●Corrected Standard Nominal Incentive fields in Details.
●Added Nominal Incentive and Caps columns in NC Standard sheets.
●Updated Standard HVAC Incentive formula to be consistent with other Standard Incentive sheets.</t>
  </si>
  <si>
    <t>●Update Location and Efficient Model field input messages.</t>
  </si>
  <si>
    <t>●Changed font for"Efficiency Details" in Standard HVAC and "Measure Cost" in all measure input tabs to improve readability. Added vertical borders in Standard HVAC.</t>
  </si>
  <si>
    <t>●Updated data validation in quantity fields to allow whole numbers.
●Corrected Standard HVAC efficiency data validation to allow efficiencies meeting baseline.</t>
  </si>
  <si>
    <t>Baldwin Park</t>
  </si>
  <si>
    <t>Big Lake</t>
  </si>
  <si>
    <t>Bronaugh</t>
  </si>
  <si>
    <t>Brownington</t>
  </si>
  <si>
    <t>Courtney</t>
  </si>
  <si>
    <t>Fleming</t>
  </si>
  <si>
    <t>Glenaire</t>
  </si>
  <si>
    <t>Lamar Heights</t>
  </si>
  <si>
    <t>Lewis and Clark Village</t>
  </si>
  <si>
    <t>Myrick</t>
  </si>
  <si>
    <t>Northmoor</t>
  </si>
  <si>
    <t>Oaks</t>
  </si>
  <si>
    <t>Oakwood</t>
  </si>
  <si>
    <t>River Bend</t>
  </si>
  <si>
    <t>Rochester</t>
  </si>
  <si>
    <t>Prairie Township</t>
  </si>
  <si>
    <t>Blackwood Township</t>
  </si>
  <si>
    <t>St. Clair</t>
  </si>
  <si>
    <t>IECC 2000</t>
  </si>
  <si>
    <r>
      <rPr>
        <sz val="6"/>
        <color theme="1"/>
        <rFont val="Calibri"/>
        <family val="2"/>
      </rPr>
      <t xml:space="preserve">(data.mo.gov "City Building Codes for Missouri" 10/28/2021)
(data.mo.gov "County Building Codes for Missouri" 8/11/2021)
</t>
    </r>
    <r>
      <rPr>
        <sz val="11"/>
        <color theme="1"/>
        <rFont val="Calibri"/>
        <family val="2"/>
      </rPr>
      <t xml:space="preserve">Codes by City/County </t>
    </r>
    <r>
      <rPr>
        <i/>
        <sz val="11"/>
        <color theme="1"/>
        <rFont val="Calibri"/>
        <family val="2"/>
      </rPr>
      <t>*Sort by City</t>
    </r>
  </si>
  <si>
    <t>Retrofit existing</t>
  </si>
  <si>
    <t>Replace in-life equip.</t>
  </si>
  <si>
    <t>New / No existing equip.</t>
  </si>
  <si>
    <t>Replace EoSL equip.</t>
  </si>
  <si>
    <r>
      <t>Is the model based on as-built conditions?</t>
    </r>
    <r>
      <rPr>
        <sz val="11"/>
        <color rgb="FFFF0000"/>
        <rFont val="Arial"/>
        <family val="2"/>
      </rPr>
      <t>*</t>
    </r>
  </si>
  <si>
    <t>If "no", please explain what the model is based on.</t>
  </si>
  <si>
    <t>Bonus Active</t>
  </si>
  <si>
    <t>Base Incentive</t>
  </si>
  <si>
    <t>2.3.4</t>
  </si>
  <si>
    <t>•Added column in Standard Motors and Drives to record actual hp (not reported to Captures).</t>
  </si>
  <si>
    <t>•Updated CUSTOMPROJECTTYPE for clarity.     
     -Swap table names PROGRAMTYPE, PROJECTTYPE
     -Update PROJECTTYPE
•Changed Custom measures Project Type input note to define 'EoSL'.
•Updated Cost Type fields according to Project Type and lock cells.</t>
  </si>
  <si>
    <t>•Added several missing cities/jurisdictions to CITYCOUNTCODES list. Updated codes in table to most recent codes from data.mo.gov.
•Fixed City and County Code fields in N05-S07 to display correct codes.
•Updated formula for NEWCONCODE to set the maximum of City, County, or 2012.</t>
  </si>
  <si>
    <t>•Update Standard 'Incentive per Unit' formulas to select incentive type.
•Add formatting to indicate bonus incentive.</t>
  </si>
  <si>
    <t>•Corrected NC Standard HVAC incremental cost calculation</t>
  </si>
  <si>
    <t>•Moved CITIES, CITYCOUNTYCODES, ENERGYCODES lists from 'LPD Tables!' to 'Data Tables!'.
•Removed duplicate CITY_X list from 'TEMPLATE_X!' and unnecessary or unused tables.</t>
  </si>
  <si>
    <t>•Changed Base and New "Units" in Custom and RCx measure Details to "Quantity".</t>
  </si>
  <si>
    <t>•Corrected EXPIRATION formula. Existing references to ACTIVE...[ , _N, _X]  result in #REF error in each app type.
•Add/Updated variables MEASTOTALALL[ , _N, _X]
•Updated PROJSTATUS[ , _N, _X] so that "Pre-Approval Required" will not display after completion is active.
•Updated EXPNOTICE[ , _N, _X] to an abbreviated formula.</t>
  </si>
  <si>
    <t>Lighting Updates
•Update T5, T8 fixture wattages - multiple length, wattage, quantity
•Remove 96W lamp options
•Added new dropdown option for "LED - Others" in CMLIGHTEFF</t>
  </si>
  <si>
    <t>•Update formulas CME...DESC so Measure Type dropdown works correctly with new Project Types.
•Corrected Standard HVAC Eff Notes formula. Wasn't populating field in Export beyond row 1.</t>
  </si>
  <si>
    <t>•Filled missing formulas in 'EXPORT_N!'AJ33:AX42</t>
  </si>
  <si>
    <t>•Eliminated requirement for 100,000 sq.ft. WBP eligibility in NC.</t>
  </si>
  <si>
    <t>•Corrected EXPORT_N! HVAC to reference correct Incremental Cost column. BI-&gt;BN</t>
  </si>
  <si>
    <t>•Corrected required formulas in 'TEMPLATE_N' N04S09F08-N04S09F10.</t>
  </si>
  <si>
    <t>•Corrected deemed kWh and kW formulas for Standard Air-Cooled Chillers.</t>
  </si>
  <si>
    <t xml:space="preserve">•Added missing Standard measure columns in details: Incremental Cost to Main app, Reporting Methodology to NC app. </t>
  </si>
  <si>
    <t>•Added additional incentive column for NC Prescriptive tables. 
•Renamed the two incentive columns for all prescriptive measures to 'Base Incentive' and 'Bonus Incentive'.
•Updated Standard 'Incentive per Unit' formulas to select incentive type.
•Added formatting to indicate bonus incentive.
•Corrected and updated formulas for Bonus Amount in 'Export'.</t>
  </si>
  <si>
    <t>•Corrected engineering check for CFM in LS&amp;R by moving CFM calc to individual leak entries.
•Updated leak kWh Savings formulas to reference new CFM cells.</t>
  </si>
  <si>
    <t>•Corrected formulas referencing ACTIVERCX_X - ('EXPORT_X'!C4,J4,O4 , 'TEMPLATE_X'!D129:D139. Provisional measure and required fields counts</t>
  </si>
  <si>
    <t>•Removed conditional formatting in X02-S04.</t>
  </si>
  <si>
    <t>•Implemented bonus structures from Main, NC into RCx</t>
  </si>
  <si>
    <t>•Updated formula for Project Notifications.
•Added new fields in templates, ACTIVEBONUS[ , _N, _X] and updated toolbar with bonus switch code. IM Tools v2.5.6.</t>
  </si>
  <si>
    <t>•Added bonus incentive amounts into applications.</t>
  </si>
  <si>
    <t>2.3.5</t>
  </si>
  <si>
    <t>•Unprotected named ranges in column 'C' of Template sheets.
•Corrected table ELECCB to align EUL years to benefits.</t>
  </si>
  <si>
    <t>Chuck Reno</t>
  </si>
  <si>
    <t>816-715-0163</t>
  </si>
  <si>
    <t>creno@trccompanies.com</t>
  </si>
  <si>
    <t>Ext Lighting w/ Peak</t>
  </si>
  <si>
    <t>Evergy</t>
  </si>
  <si>
    <t>2.4.0</t>
  </si>
  <si>
    <t>Custom Caps and Status formulas:
•Updated Caps formulas for M04-S04 - M04-S09.
•Updated Status formulas for M04-S02, M04-S03 to check for savings after building type.</t>
  </si>
  <si>
    <t>•Updated cost cap conditional formatting for NC to match main app.</t>
  </si>
  <si>
    <t>•Added 'MASTER' sheet to be referenced by all Template sheets for common app fields.
•Updated sheet colors to indicate whether each is universal or part of a specific app type and re-arranged sheets to group by app type.
•Updated BUSDEVEL.</t>
  </si>
  <si>
    <t>•Renewed expiration date.
•Updated IM Tools to Evergy tools. Removed code for other programs and updated to reference 'Master' instead of 'Template' for all functions with backward compatibility.
•Removed bonus incentives.
•Updated base incentives.</t>
  </si>
  <si>
    <t>•Added in new HPWH measures.
•Updated HVAC measures to reference minimum eligible efficiency instead of baseline and set min values above TRM baseline efficiency.</t>
  </si>
  <si>
    <t>Rated Tons</t>
  </si>
  <si>
    <t>Equipment Manufacturer</t>
  </si>
  <si>
    <t>Equipment Model</t>
  </si>
  <si>
    <t>IECC 2021</t>
  </si>
  <si>
    <t>ASHRAE 90.1 2019</t>
  </si>
  <si>
    <t>ASHRAE 90.1 2022</t>
  </si>
  <si>
    <t>SEER2</t>
  </si>
  <si>
    <r>
      <t>ASHP &lt;65kbtu (&lt;5.42 tons)</t>
    </r>
    <r>
      <rPr>
        <sz val="11"/>
        <color rgb="FFFF0000"/>
        <rFont val="Calibri"/>
        <family val="2"/>
      </rPr>
      <t xml:space="preserve"> - Split System</t>
    </r>
  </si>
  <si>
    <r>
      <t>ASHP &lt;65kbtu (&lt;5.42 tons)</t>
    </r>
    <r>
      <rPr>
        <sz val="11"/>
        <color rgb="FFFF0000"/>
        <rFont val="Calibri"/>
        <family val="2"/>
      </rPr>
      <t xml:space="preserve"> - Single Package System</t>
    </r>
  </si>
  <si>
    <t>EER2</t>
  </si>
  <si>
    <t>HSPF2</t>
  </si>
  <si>
    <t>No code reference, copied from 2012</t>
  </si>
  <si>
    <t>2.4.1</t>
  </si>
  <si>
    <t>•Added 4 new columns to the applications to accommodate new Manufacturer field in several sheets and expand fields in other sheets.
•Updated Evergy Tools</t>
  </si>
  <si>
    <t>•Corrected Apply Online button formula and formatting.</t>
  </si>
  <si>
    <t>•Added new details column for Base Incentive and corrected Bonus incentive in EXPORT.</t>
  </si>
  <si>
    <t>•Added VRF measures to STDHVAC_N, NCHVACCODE{_PL, _FL}.</t>
  </si>
  <si>
    <t>•Corrected Incremental Cost formulas in M03-S05 and N03-S04.</t>
  </si>
  <si>
    <t>•Updated APP_TYPE to update automatically based on workbook 'TEMPLATE' sheets.</t>
  </si>
  <si>
    <t>•Cleared formatting in data tables indicating previous data changes.
•Added IECC 2021 to NC codes. Tables LPDWATT, ENERGYCODES, NCHVACCODE{_PL, _FL, _Other}.</t>
  </si>
  <si>
    <t>•Updated webpage links in Welcome tabs.</t>
  </si>
  <si>
    <t>Part Load Cooling Efficiency</t>
  </si>
  <si>
    <t>Other Efficiency</t>
  </si>
  <si>
    <t>Table C403.3.2(9)</t>
  </si>
  <si>
    <t>ASHRAE 90.1-2016 Table 6.8.1-10</t>
  </si>
  <si>
    <t>ASHRAE 90.1-2013 Table 6.8.1-10</t>
  </si>
  <si>
    <t>ASHRAE 90.1-2010 Table 6.8.1J</t>
  </si>
  <si>
    <r>
      <t>Incentive: 5</t>
    </r>
    <r>
      <rPr>
        <sz val="11"/>
        <color theme="1" tint="0.249977111117893"/>
        <rFont val="Arial"/>
        <family val="2"/>
      </rPr>
      <t>0₵ per watt reduced below baseline wattage</t>
    </r>
  </si>
  <si>
    <t>2.4.2</t>
  </si>
  <si>
    <t>•Corrected #REF! errors in EXPORT! under Custom CAP, WHFS and TEMPLATE! Under Custom Lighting, CAP, WHFS.</t>
  </si>
  <si>
    <t>•Updated HPWH incentives</t>
  </si>
  <si>
    <t>Pre-Approval Incentive Threshold</t>
  </si>
  <si>
    <t>2.4.3</t>
  </si>
  <si>
    <t>•Defined INCENTPREAPPROVAL for all references to pre-approval incentive limit.
•Updated Pre-Approval threshold to $15,000.00.</t>
  </si>
  <si>
    <t>Reighan Barajas</t>
  </si>
  <si>
    <t>Angela Blaize</t>
  </si>
  <si>
    <t>816-216-2786</t>
  </si>
  <si>
    <t>ablaize@trccompanies.com</t>
  </si>
  <si>
    <t>2.4.4</t>
  </si>
  <si>
    <t>•Corrected Standard Ice Machine measure numbers which contained duplicates of other measures.</t>
  </si>
  <si>
    <t>•Updated ACC savings to match TRM values.</t>
  </si>
  <si>
    <t>•Changed HVAC efficiencies data validation to allow values less than baseline. Format changed to General to display correct digits for base and proposed. Display ineligible status when baseline not met  for Part Load and Other efficiencies.</t>
  </si>
  <si>
    <t>•Updated IS and BD name lists.</t>
  </si>
  <si>
    <t>•Updated sq.ft data validation to allow values &gt; 0.</t>
  </si>
  <si>
    <t>Josh Leffert</t>
  </si>
  <si>
    <t>•Corrected data validation message in Baseline, Efficient Lighting costs. Updated formula to disallow fractions of a cent.
•Changed LPD area DV to require value &gt; 0.</t>
  </si>
  <si>
    <t>Mackenzie Grosko</t>
  </si>
  <si>
    <t>Elias Wirz</t>
  </si>
  <si>
    <t>Perry Boone</t>
  </si>
  <si>
    <t>Brett Bauma</t>
  </si>
  <si>
    <t>bbauma@trccompanies.com</t>
  </si>
  <si>
    <t>District of Columbia</t>
  </si>
  <si>
    <t>DC</t>
  </si>
  <si>
    <t>Puerto Rico</t>
  </si>
  <si>
    <t>PR</t>
  </si>
  <si>
    <t>U.S. Virgin Islands</t>
  </si>
  <si>
    <t>VI</t>
  </si>
  <si>
    <t>Unit Definition</t>
  </si>
  <si>
    <t>Measure Definition</t>
  </si>
  <si>
    <t>TRM Column:</t>
  </si>
  <si>
    <t>per unit</t>
  </si>
  <si>
    <t>UEF_Eff</t>
  </si>
  <si>
    <t>UEF_Base</t>
  </si>
  <si>
    <t>per ton per SEER</t>
  </si>
  <si>
    <t>per ton per IEER</t>
  </si>
  <si>
    <t>per ton per IPLV (EER)</t>
  </si>
  <si>
    <t>per ton per IPLV (kW/ton)</t>
  </si>
  <si>
    <t>High-efficiency VRF system meeting or exceeding CEE Tier 1 efficiency levels</t>
  </si>
  <si>
    <t>IPLVee (EER)</t>
  </si>
  <si>
    <t>IPLVee (kW/ton)</t>
  </si>
  <si>
    <t>Minimally compliant VRF system determined by the local energy code or federal efficiency standrds, whichever is higher</t>
  </si>
  <si>
    <t>IPLVbase (EER)</t>
  </si>
  <si>
    <t>IPLVbase (kW/ton)</t>
  </si>
  <si>
    <t>Base Efficiency 1</t>
  </si>
  <si>
    <t>Eff Unit 1</t>
  </si>
  <si>
    <t>Eff Unit 2</t>
  </si>
  <si>
    <t>Base Efficiency 2</t>
  </si>
  <si>
    <t>Eff Unit 3</t>
  </si>
  <si>
    <t>Base Efficiency 3</t>
  </si>
  <si>
    <t>EER (IPLV)</t>
  </si>
  <si>
    <t>kW/ton (IPLV)</t>
  </si>
  <si>
    <t>Energy Star Residential Heat Pump Water Heater ≤ 55 gal, UEF ≥ 3.3</t>
  </si>
  <si>
    <t>Energy Star Heat Pump Water Heater ≤ 55 gal, UEF ≥ 3.3</t>
  </si>
  <si>
    <t>Guidehouse Analysis '2023 Updated kW Factors DRAFT_01.29.2024.xlsx'</t>
  </si>
  <si>
    <t>2.5.0</t>
  </si>
  <si>
    <t>316-789-4109</t>
  </si>
  <si>
    <r>
      <t xml:space="preserve">Only the </t>
    </r>
    <r>
      <rPr>
        <b/>
        <sz val="11"/>
        <color theme="1"/>
        <rFont val="Calibri"/>
        <family val="2"/>
      </rPr>
      <t>Microsoft Excel desktop program</t>
    </r>
    <r>
      <rPr>
        <sz val="11"/>
        <color theme="1"/>
        <rFont val="Calibri"/>
        <family val="2"/>
      </rPr>
      <t xml:space="preserve"> should be used to open and modify this application.</t>
    </r>
  </si>
  <si>
    <t>Acknowledge</t>
  </si>
  <si>
    <t>Field1</t>
  </si>
  <si>
    <t>Field2</t>
  </si>
  <si>
    <t>Field3</t>
  </si>
  <si>
    <t>Field4</t>
  </si>
  <si>
    <t>PLC</t>
  </si>
  <si>
    <t>FLC</t>
  </si>
  <si>
    <t>PLH</t>
  </si>
  <si>
    <t>Tons-Heat</t>
  </si>
  <si>
    <t>FLH</t>
  </si>
  <si>
    <t>PLC, FLC, PLH, FLH</t>
  </si>
  <si>
    <t>PLC, FLC, PLH, FLH, Tons-Heat</t>
  </si>
  <si>
    <t>•Updated Standard measures.
 - Column color coding, STDHVAC columns arrangement and M03-S05 references, new measures added, updated existing measure values.</t>
  </si>
  <si>
    <t>•Updated NC Measures</t>
  </si>
  <si>
    <t>Updated Standard HVAC Base Notes and Eff Notes in EXPORT.</t>
  </si>
  <si>
    <t>•Reset Expiration Date
•Added new PC's and BD to app lists.
•Added missing territories to list for Company location.</t>
  </si>
  <si>
    <t>•Updated KC code in Data Tables.
•Updated years in CBData sheet.</t>
  </si>
  <si>
    <t>•Updated Custom inc. rates and CPDF's in ENDUSEALL.</t>
  </si>
  <si>
    <t>•Added Excel acknowledgement checkbox to instruction sheets.</t>
  </si>
  <si>
    <t>High efficiency heat pump that meets efficiency requirement as tested under AHRI 340/360</t>
  </si>
  <si>
    <t>High efficiency heat pump that meets efficiency requirement as tested under AHRI 210/240</t>
  </si>
  <si>
    <t>Air-cooled heat pump 65-135 kbtu as defined in IECC 2012 v5, Table C403.2.3(2)</t>
  </si>
  <si>
    <t>Air-cooled heat pump 135-240 kbtu as defined in IECC 2012 v5, Table C403.2.3(2)</t>
  </si>
  <si>
    <t>Air-cooled heat pump &gt;240 kbtu as defined in IECC 2012 v5, Table C403.2.3(2)</t>
  </si>
  <si>
    <t>Air-cooled heat pump &lt;65 kbtu as defined in IECC 2012 v5, Table C403.2.3(2)</t>
  </si>
  <si>
    <t>EER (FL)</t>
  </si>
  <si>
    <t>kW/ton (FL)</t>
  </si>
  <si>
    <t xml:space="preserve">By signature above, I hereby certify that this form includes the entire efficiency project scope and estimated total project cost including both materials and labor for this site. Details of this Program, including incentive levels and availability, are subject to change. Incentive Offer forms are valid for 30 days. Incentive Offer forms not returned within 30 days may not qualify for an incentive. The signed incentive Offer form must be delivered to Evergy Business Energy Savings Program Administrator, TRC (“Program Administrator”), as indicated in this Agreement before a project begins. An approved incentive Offer is not a guarantee of being awarded any incentive amount until final payment approval.
A Customer shall complete a project no later than 9 months from project approval (offer) by Program Administrator, or by December 31, 2024, whichever occurs earlier. Projects that are not completed within 9 months or by December 31, 2024 shall forfeit their position in the queue for program funds unless otherwise agreed by Evergy in its sole reasonable discretion based upon consideration of Customer’s completion of project milestones and/or construction activity to begin the project. </t>
  </si>
  <si>
    <t>A Customer shall complete a project no later than 9 months from project approval by Program Administrator, or by December 31, 2024, whichever occurs earlier. Projects that are not completed within 9 months or by December 31, 2024 shall forfeit their position in the queue for program funds unless otherwise agreed by Evergy in its sole reasonable discretion based upon consideration of Customer’s completion of project milestones and/or construction activity to begin the project. Once final paperwork is submitted (such as Completion Form, invoices, etc.) and project inspection completed (as applicable), payment of incentive amount is made within eight weeks. Incomplete applications will delay payment. 
If I am authorizing this payment of my incentive to the third-party (“Payee”) named above, I understand that I will not be receiving the incentive check from Evergy. I also understand that my release of the payment to the third-party does not exempt me from the incentive requirements outlined in this application.</t>
  </si>
  <si>
    <t>Offer</t>
  </si>
  <si>
    <t>Completion</t>
  </si>
  <si>
    <t>2.5.1</t>
  </si>
  <si>
    <t>Updated</t>
  </si>
  <si>
    <t>DOE</t>
  </si>
  <si>
    <t>Detail</t>
  </si>
  <si>
    <t>•Added 4 additional columns to applications.</t>
  </si>
  <si>
    <t>•Fixed error in Standard HVAC Status field.</t>
  </si>
  <si>
    <t>•Added DOE column to the Standard HVAC tables NCHVACCODE_...
•Changed table names to match Std HVAC sheet: [PLC, Other, Detail].
•Updated formulas in STDHVAC_N "Base Efficiency [1-3]" to display max of IECC or DOE.</t>
  </si>
  <si>
    <t>•Corrected Std HVAC calculation bugs in Eff PLCE, Deemed savings, Nominal Incentive.</t>
  </si>
  <si>
    <t>•Updated Standard HVAC Measure Name data validation to not allow change with populated tons or capacity fields.</t>
  </si>
  <si>
    <t>•Updated Standard HVAC Calculated kWh, kW formulas</t>
  </si>
  <si>
    <t>•Updated hotline phone number (FOOT2, [M,N,X]01-S02 image, 01-S03, 05-S03, 05-S04, 05-S05).</t>
  </si>
  <si>
    <t>•Fixed bug allowing bypass of Excel verification checkbox.
•Correct names and organization of objects in all sheets(e.g. Header, Navigation).</t>
  </si>
  <si>
    <t>v3.0.0</t>
  </si>
  <si>
    <t>Jane Parker</t>
  </si>
  <si>
    <t>573-476-2857</t>
  </si>
  <si>
    <t>JParker@trccompanies.com</t>
  </si>
  <si>
    <t>Shannon Walker</t>
  </si>
  <si>
    <t>Berthonise Charles</t>
  </si>
  <si>
    <t>Travis Jones</t>
  </si>
  <si>
    <t>Brandon Hines</t>
  </si>
  <si>
    <r>
      <rPr>
        <b/>
        <sz val="11"/>
        <color rgb="FF003353"/>
        <rFont val="Arial"/>
        <family val="2"/>
      </rPr>
      <t>NOTE:</t>
    </r>
    <r>
      <rPr>
        <sz val="11"/>
        <color rgb="FF003353"/>
        <rFont val="Arial"/>
        <family val="2"/>
      </rPr>
      <t xml:space="preserve"> </t>
    </r>
    <r>
      <rPr>
        <sz val="11"/>
        <color theme="1" tint="0.249977111117893"/>
        <rFont val="Arial"/>
        <family val="2"/>
      </rPr>
      <t xml:space="preserve">To apply for an incentive, select a category using the below buttons. Custom Incentives require Pre-Approval before purchase and installation of the equipment. Standard and Whole Building Performance Incentives are applied for upon completion. You may enter measure information into the application at anytime to get an estimated incentive.
</t>
    </r>
    <r>
      <rPr>
        <i/>
        <sz val="11"/>
        <color theme="1" tint="0.249977111117893"/>
        <rFont val="Arial"/>
        <family val="2"/>
      </rPr>
      <t xml:space="preserve"> To apply for a different incentive category, select 'Incentive Input' on the tracker bar to return to this view</t>
    </r>
  </si>
  <si>
    <t>Alberta</t>
  </si>
  <si>
    <t>AB</t>
  </si>
  <si>
    <t>British Columbia</t>
  </si>
  <si>
    <t>BC</t>
  </si>
  <si>
    <t>Manitoba</t>
  </si>
  <si>
    <t>MB</t>
  </si>
  <si>
    <t>New Brunswick</t>
  </si>
  <si>
    <t>NB</t>
  </si>
  <si>
    <t>Newfoundland and Labrador</t>
  </si>
  <si>
    <t>NL</t>
  </si>
  <si>
    <t>Northwest Territories</t>
  </si>
  <si>
    <t>NT</t>
  </si>
  <si>
    <t>Nova Scotia</t>
  </si>
  <si>
    <t>NS</t>
  </si>
  <si>
    <t>Nunavut</t>
  </si>
  <si>
    <t>NU</t>
  </si>
  <si>
    <t>Ontario</t>
  </si>
  <si>
    <t>ON</t>
  </si>
  <si>
    <t>Prince Edward Island</t>
  </si>
  <si>
    <t>PE</t>
  </si>
  <si>
    <t>Quebec</t>
  </si>
  <si>
    <t>QC</t>
  </si>
  <si>
    <t>Saskatchewan</t>
  </si>
  <si>
    <t>SK</t>
  </si>
  <si>
    <t>Yukon</t>
  </si>
  <si>
    <t>YT</t>
  </si>
  <si>
    <r>
      <t>State/ Province</t>
    </r>
    <r>
      <rPr>
        <sz val="11"/>
        <color rgb="FFFF0000"/>
        <rFont val="Arial"/>
        <family val="2"/>
      </rPr>
      <t>*</t>
    </r>
  </si>
  <si>
    <r>
      <t>Zip/ Postal Code</t>
    </r>
    <r>
      <rPr>
        <sz val="11"/>
        <color rgb="FFFF0000"/>
        <rFont val="Arial"/>
        <family val="2"/>
      </rPr>
      <t>*</t>
    </r>
  </si>
  <si>
    <t>Based on Evergy Data provided 1/15/25 by Mark Leonard</t>
  </si>
  <si>
    <t>PTHP Unit</t>
  </si>
  <si>
    <t>9999999</t>
  </si>
  <si>
    <t>High Volume Low Speed Fan (16-24ft Diameter)</t>
  </si>
  <si>
    <t>High Volume Low Speed Fans (16-24ft Diameter)</t>
  </si>
  <si>
    <t>per ft</t>
  </si>
  <si>
    <t>HVLS fan from 16-24 ft in diameter</t>
  </si>
  <si>
    <t>Multiple 4' diameter high speed fans of equivalent total diameter</t>
  </si>
  <si>
    <t>Min Unit</t>
  </si>
  <si>
    <t>Max Unit</t>
  </si>
  <si>
    <t>Measure Not Specified.</t>
  </si>
  <si>
    <t>3.0.0</t>
  </si>
  <si>
    <t xml:space="preserve">Updated standard HVAC rates and baselines
Removed standard ice maker and water heater measures
Updated standard kitchen equipment measure rates
Put WBP floor at 0 kWh
Added flag that Kansas City addresses are not eligible
</t>
  </si>
  <si>
    <t>Updated personnel dropdowns
Expiration date 12/31/25
Added Canadian provinces to State/ Province dropdown and edited entry field to reflect
Updated CBDATA for 2025
Hid Lighting sections and removed links
Removed requirement for &lt;5 ton DX Unit EER entry
Updated custom rates for 2025
Updated terms and conditions links
Updated dates in Terms on Offer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</si>
</sst>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lt;=9999999]###\-####;\(###\)\ ###\-####"/>
    <numFmt numFmtId="172" formatCode="0.0000"/>
    <numFmt numFmtId="173" formatCode="#,##0.0000"/>
    <numFmt numFmtId="174" formatCode="0.0000000000"/>
    <numFmt numFmtId="175" formatCode="&quot;$&quot;#,##0.0000"/>
    <numFmt numFmtId="176" formatCode="0.0"/>
    <numFmt numFmtId="177" formatCode="&quot;$&quot;#,##0.000_);[Red]\(&quot;$&quot;#,##0.000\)"/>
    <numFmt numFmtId="178" formatCode="0.000000"/>
    <numFmt numFmtId="179" formatCode="&quot;$&quot;#,##0.000"/>
    <numFmt numFmtId="180" formatCode="&quot;powering&quot;\ #,##0.0"/>
    <numFmt numFmtId="181" formatCode="_(&quot;$&quot;* #,##0.0000_);_(&quot;$&quot;* \(#,##0.0000\);_(&quot;$&quot;* &quot;-&quot;??_);_(@_)"/>
    <numFmt numFmtId="182" formatCode="_(* #,##0_);_(* \(#,##0\);_(* &quot;-&quot;??_);_(@_)"/>
    <numFmt numFmtId="183" formatCode="#,###\ &quot;sq. ft.&quot;"/>
    <numFmt numFmtId="184" formatCode="0.0000%"/>
    <numFmt numFmtId="185" formatCode="#,##0.0"/>
    <numFmt numFmtId="186" formatCode="#,##0.00\ \k\W"/>
    <numFmt numFmtId="187" formatCode="#,###\ &quot;kW&quot;"/>
    <numFmt numFmtId="188" formatCode="#,###.0000\ &quot;kW&quot;"/>
    <numFmt numFmtId="189" formatCode="#,##0.0000\ &quot;kW&quot;"/>
    <numFmt numFmtId="190" formatCode="#,##0.000"/>
    <numFmt numFmtId="191" formatCode="&quot;$&quot;#,##0.00000"/>
    <numFmt numFmtId="192" formatCode="#,###.0000\ &quot;kWh&quot;"/>
    <numFmt numFmtId="193" formatCode="_(* #,##0.0000_);_(* \(#,##0.0000\);_(* &quot;-&quot;??_);_(@_)"/>
  </numFmts>
  <fonts count="191">
    <font>
      <sz val="11"/>
      <color theme="1"/>
      <name val="Calibri"/>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sz val="11"/>
      <color theme="1"/>
      <name val="Calibri"/>
      <family val="2"/>
    </font>
    <font>
      <b/>
      <sz val="11"/>
      <color rgb="FFFF0000"/>
      <name val="Calibri"/>
      <family val="2"/>
    </font>
    <font>
      <sz val="11"/>
      <name val="Calibri"/>
      <family val="2"/>
    </font>
    <font>
      <b/>
      <sz val="10"/>
      <name val="Arial"/>
      <family val="2"/>
    </font>
    <font>
      <sz val="11"/>
      <color theme="0" tint="-0.34998626667073579"/>
      <name val="Calibri"/>
      <family val="2"/>
    </font>
    <font>
      <b/>
      <sz val="11"/>
      <color rgb="FFFF0000"/>
      <name val="Arial"/>
      <family val="2"/>
    </font>
    <font>
      <sz val="11"/>
      <color theme="0"/>
      <name val="Arial"/>
      <family val="2"/>
    </font>
    <font>
      <b/>
      <sz val="16"/>
      <name val="Arial"/>
      <family val="2"/>
    </font>
    <font>
      <sz val="12"/>
      <color theme="1"/>
      <name val="Arial"/>
      <family val="2"/>
    </font>
    <font>
      <sz val="12"/>
      <color theme="0"/>
      <name val="Arial"/>
      <family val="2"/>
    </font>
    <font>
      <sz val="11"/>
      <color theme="1"/>
      <name val="Calibri Light"/>
      <family val="2"/>
    </font>
    <font>
      <sz val="11"/>
      <color theme="4" tint="0.59999389629810485"/>
      <name val="Arial"/>
      <family val="2"/>
    </font>
    <font>
      <b/>
      <sz val="12"/>
      <color theme="1"/>
      <name val="Arial"/>
      <family val="2"/>
    </font>
    <font>
      <sz val="10"/>
      <name val="Arial"/>
      <family val="2"/>
    </font>
    <font>
      <b/>
      <sz val="18"/>
      <color rgb="FFFF000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4"/>
      <name val="Arial"/>
      <family val="2"/>
    </font>
    <font>
      <b/>
      <sz val="18"/>
      <name val="Arial"/>
      <family val="2"/>
    </font>
    <font>
      <sz val="16"/>
      <name val="Arial"/>
      <family val="2"/>
    </font>
    <font>
      <vertAlign val="superscript"/>
      <sz val="14"/>
      <name val="Arial"/>
      <family val="2"/>
    </font>
    <font>
      <sz val="13"/>
      <color theme="1"/>
      <name val="Arial"/>
      <family val="2"/>
    </font>
    <font>
      <vertAlign val="subscript"/>
      <sz val="13"/>
      <color theme="1"/>
      <name val="Arial"/>
      <family val="2"/>
    </font>
    <font>
      <b/>
      <sz val="22"/>
      <name val="Arial"/>
      <family val="2"/>
    </font>
    <font>
      <i/>
      <sz val="11"/>
      <color theme="1"/>
      <name val="Calibri"/>
      <family val="2"/>
    </font>
    <font>
      <sz val="10"/>
      <color indexed="12"/>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0"/>
      <color theme="0"/>
      <name val="Arial"/>
      <family val="2"/>
    </font>
    <font>
      <sz val="12"/>
      <color theme="1"/>
      <name val="Times New Roman"/>
      <family val="1"/>
    </font>
    <font>
      <b/>
      <sz val="11"/>
      <color theme="0" tint="-0.499984740745262"/>
      <name val="Wingdings"/>
      <charset val="2"/>
    </font>
    <font>
      <b/>
      <sz val="11"/>
      <color theme="0" tint="-0.499984740745262"/>
      <name val="Arial"/>
      <family val="2"/>
    </font>
    <font>
      <b/>
      <sz val="20"/>
      <color rgb="FF1B6CB5"/>
      <name val="Arial"/>
      <family val="2"/>
    </font>
    <font>
      <sz val="11"/>
      <color theme="0" tint="-0.499984740745262"/>
      <name val="Wingdings"/>
      <charset val="2"/>
    </font>
    <font>
      <sz val="11"/>
      <color theme="0" tint="-0.499984740745262"/>
      <name val="Calibri"/>
      <family val="2"/>
      <charset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2"/>
      <color rgb="FF0E4F9C"/>
      <name val="Arial Narrow"/>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6"/>
      <color theme="0"/>
      <name val="Arial"/>
      <family val="2"/>
    </font>
    <font>
      <b/>
      <sz val="11"/>
      <name val="Calibri"/>
      <family val="2"/>
    </font>
    <font>
      <b/>
      <sz val="11.5"/>
      <color theme="1" tint="0.249977111117893"/>
      <name val="Arial"/>
      <family val="2"/>
    </font>
    <font>
      <u/>
      <sz val="11"/>
      <color theme="10"/>
      <name val="Arial"/>
      <family val="2"/>
    </font>
    <font>
      <b/>
      <sz val="11"/>
      <name val="Arial"/>
      <family val="2"/>
    </font>
    <font>
      <sz val="11"/>
      <color rgb="FF1B6CB5"/>
      <name val="Arial"/>
      <family val="2"/>
    </font>
    <font>
      <b/>
      <sz val="11"/>
      <color theme="1" tint="0.249977111117893"/>
      <name val="Airal"/>
    </font>
    <font>
      <sz val="11"/>
      <color rgb="FFFF0000"/>
      <name val="Arial"/>
      <family val="2"/>
    </font>
    <font>
      <sz val="16"/>
      <color theme="0"/>
      <name val="Arial"/>
      <family val="2"/>
    </font>
    <font>
      <sz val="18"/>
      <color theme="0"/>
      <name val="Arial"/>
      <family val="2"/>
    </font>
    <font>
      <b/>
      <sz val="18"/>
      <color theme="1"/>
      <name val="Arial"/>
      <family val="2"/>
    </font>
    <font>
      <sz val="11"/>
      <color rgb="FF0000FF"/>
      <name val="Arial"/>
      <family val="2"/>
    </font>
    <font>
      <i/>
      <sz val="8"/>
      <name val="Arial"/>
      <family val="2"/>
    </font>
    <font>
      <sz val="11"/>
      <color theme="1"/>
      <name val="Script MT Bold"/>
      <family val="4"/>
    </font>
    <font>
      <sz val="11"/>
      <color rgb="FFD98C24"/>
      <name val="Arial"/>
      <family val="2"/>
    </font>
    <font>
      <sz val="10.5"/>
      <color theme="1"/>
      <name val="Arial"/>
      <family val="2"/>
    </font>
    <font>
      <sz val="8"/>
      <color theme="1"/>
      <name val="Arial"/>
      <family val="2"/>
      <charset val="204"/>
    </font>
    <font>
      <sz val="8"/>
      <color theme="1"/>
      <name val="Calibri"/>
      <family val="2"/>
    </font>
    <font>
      <b/>
      <sz val="18"/>
      <color rgb="FF0C4F9C"/>
      <name val="Arial"/>
      <family val="2"/>
    </font>
    <font>
      <vertAlign val="superscript"/>
      <sz val="12"/>
      <color theme="1"/>
      <name val="Arial"/>
      <family val="2"/>
    </font>
    <font>
      <u/>
      <sz val="12"/>
      <color theme="8"/>
      <name val="Arial"/>
      <family val="2"/>
    </font>
    <font>
      <b/>
      <sz val="13"/>
      <color rgb="FFFFFFFF"/>
      <name val="Arial"/>
      <family val="2"/>
    </font>
    <font>
      <sz val="10"/>
      <color theme="1"/>
      <name val="Arial"/>
      <family val="2"/>
    </font>
    <font>
      <sz val="29"/>
      <color rgb="FF32A3FF"/>
      <name val="Arial Rounded MT Bold"/>
      <family val="2"/>
    </font>
    <font>
      <sz val="11"/>
      <color theme="10"/>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0"/>
      <color rgb="FFFF0000"/>
      <name val="Arial"/>
      <family val="2"/>
    </font>
    <font>
      <b/>
      <sz val="11"/>
      <color rgb="FFF27C0D"/>
      <name val="Arial"/>
      <family val="2"/>
    </font>
    <font>
      <sz val="11"/>
      <color theme="1" tint="0.24994659260841701"/>
      <name val="Arial"/>
      <family val="2"/>
    </font>
    <font>
      <b/>
      <sz val="11"/>
      <color theme="1" tint="0.24994659260841701"/>
      <name val="Arial"/>
      <family val="2"/>
    </font>
    <font>
      <b/>
      <u/>
      <sz val="11"/>
      <color theme="4" tint="-0.249977111117893"/>
      <name val="Arial"/>
      <family val="2"/>
    </font>
    <font>
      <b/>
      <sz val="11"/>
      <color theme="0" tint="-0.499984740745262"/>
      <name val="Arail"/>
    </font>
    <font>
      <b/>
      <u/>
      <sz val="11"/>
      <color theme="10"/>
      <name val="Arail"/>
    </font>
    <font>
      <sz val="11.5"/>
      <color theme="0"/>
      <name val="Arial"/>
      <family val="2"/>
    </font>
    <font>
      <sz val="11.5"/>
      <color indexed="9"/>
      <name val="Arial"/>
      <family val="2"/>
    </font>
    <font>
      <sz val="11"/>
      <name val="Airal"/>
    </font>
    <font>
      <b/>
      <sz val="11"/>
      <name val="Airal"/>
    </font>
    <font>
      <b/>
      <sz val="11"/>
      <color theme="0"/>
      <name val="Calibri"/>
      <family val="2"/>
    </font>
    <font>
      <sz val="10.5"/>
      <color theme="1" tint="0.24994659260841701"/>
      <name val="Arial"/>
      <family val="2"/>
    </font>
    <font>
      <sz val="8"/>
      <color theme="1"/>
      <name val="Arial"/>
      <family val="2"/>
    </font>
    <font>
      <b/>
      <sz val="22"/>
      <color rgb="FF004E9A"/>
      <name val="Arial Narrow"/>
      <family val="2"/>
    </font>
    <font>
      <b/>
      <sz val="20"/>
      <color rgb="FF004E9A"/>
      <name val="Arial"/>
      <family val="2"/>
    </font>
    <font>
      <b/>
      <sz val="20"/>
      <color rgb="FF76BB40"/>
      <name val="Arial"/>
      <family val="2"/>
    </font>
    <font>
      <b/>
      <sz val="11"/>
      <color rgb="FF004E9A"/>
      <name val="Arial"/>
      <family val="2"/>
    </font>
    <font>
      <b/>
      <sz val="11"/>
      <color rgb="FF004E9A"/>
      <name val="Wingdings"/>
      <charset val="2"/>
    </font>
    <font>
      <b/>
      <sz val="18"/>
      <color rgb="FF004E9A"/>
      <name val="Arial"/>
      <family val="2"/>
    </font>
    <font>
      <b/>
      <sz val="15"/>
      <color rgb="FFE8722D"/>
      <name val="Arial Narrow"/>
      <family val="2"/>
    </font>
    <font>
      <i/>
      <sz val="10"/>
      <name val="Arial"/>
      <family val="2"/>
    </font>
    <font>
      <b/>
      <i/>
      <sz val="11"/>
      <color theme="1"/>
      <name val="Calibri"/>
      <family val="2"/>
    </font>
    <font>
      <sz val="11"/>
      <color rgb="FFFF0000"/>
      <name val="Calibri"/>
      <family val="2"/>
    </font>
    <font>
      <i/>
      <sz val="10"/>
      <color theme="1" tint="0.249977111117893"/>
      <name val="Arial"/>
      <family val="2"/>
    </font>
    <font>
      <b/>
      <sz val="10"/>
      <color theme="1" tint="0.249977111117893"/>
      <name val="Arial"/>
      <family val="2"/>
    </font>
    <font>
      <b/>
      <sz val="18.5"/>
      <color theme="0"/>
      <name val="Arial"/>
      <family val="2"/>
    </font>
    <font>
      <b/>
      <sz val="11"/>
      <color rgb="FF003353"/>
      <name val="Arial"/>
      <family val="2"/>
    </font>
    <font>
      <b/>
      <sz val="11"/>
      <color rgb="FF317CC0"/>
      <name val="Arial"/>
      <family val="2"/>
    </font>
    <font>
      <sz val="8"/>
      <name val="Calibri"/>
      <family val="2"/>
    </font>
    <font>
      <sz val="11"/>
      <color rgb="FFFF0000"/>
      <name val="Calibri"/>
      <family val="2"/>
      <scheme val="minor"/>
    </font>
    <font>
      <b/>
      <sz val="14"/>
      <color rgb="FF004E9A"/>
      <name val="Arial"/>
      <family val="2"/>
    </font>
    <font>
      <b/>
      <sz val="20"/>
      <color rgb="FF003353"/>
      <name val="Arial"/>
      <family val="2"/>
    </font>
    <font>
      <b/>
      <sz val="16"/>
      <color rgb="FF004E9A"/>
      <name val="Arial"/>
      <family val="2"/>
    </font>
    <font>
      <b/>
      <sz val="10"/>
      <color theme="1"/>
      <name val="Arial"/>
      <family val="2"/>
    </font>
    <font>
      <sz val="9"/>
      <color indexed="81"/>
      <name val="Tahoma"/>
      <family val="2"/>
    </font>
    <font>
      <b/>
      <sz val="9"/>
      <color indexed="81"/>
      <name val="Tahoma"/>
      <family val="2"/>
    </font>
    <font>
      <sz val="12"/>
      <color theme="1" tint="0.249977111117893"/>
      <name val="Arial"/>
      <family val="2"/>
    </font>
    <font>
      <sz val="12"/>
      <color theme="1" tint="0.249977111117893"/>
      <name val="Calibri"/>
      <family val="2"/>
    </font>
    <font>
      <i/>
      <sz val="11"/>
      <color theme="1" tint="0.249977111117893"/>
      <name val="Calibri"/>
      <family val="2"/>
    </font>
    <font>
      <b/>
      <i/>
      <sz val="11"/>
      <color theme="1" tint="0.249977111117893"/>
      <name val="Arial"/>
      <family val="2"/>
    </font>
    <font>
      <i/>
      <sz val="11"/>
      <color theme="1" tint="0.249977111117893"/>
      <name val="Arial"/>
      <family val="2"/>
    </font>
    <font>
      <sz val="11"/>
      <color rgb="FF003353"/>
      <name val="Arial"/>
      <family val="2"/>
    </font>
    <font>
      <sz val="10.3"/>
      <color theme="1" tint="0.249977111117893"/>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b/>
      <sz val="14"/>
      <name val="Arial"/>
      <family val="2"/>
    </font>
    <font>
      <sz val="8"/>
      <color rgb="FF000000"/>
      <name val="Segoe UI"/>
      <family val="2"/>
    </font>
    <font>
      <sz val="11"/>
      <color theme="4"/>
      <name val="Calibri"/>
      <family val="2"/>
    </font>
    <font>
      <sz val="11"/>
      <name val="Calibri"/>
      <family val="2"/>
      <scheme val="minor"/>
    </font>
    <font>
      <b/>
      <sz val="15"/>
      <color rgb="FFFF0000"/>
      <name val="Arial"/>
      <family val="2"/>
    </font>
    <font>
      <b/>
      <sz val="26"/>
      <color rgb="FFFF0000"/>
      <name val="Arial"/>
      <family val="2"/>
    </font>
    <font>
      <b/>
      <sz val="11"/>
      <color theme="0"/>
      <name val="Wingdings"/>
      <charset val="2"/>
    </font>
    <font>
      <b/>
      <sz val="10"/>
      <color theme="1" tint="0.24994659260841701"/>
      <name val="Arial"/>
      <family val="2"/>
    </font>
    <font>
      <sz val="8"/>
      <color theme="1"/>
      <name val="Century Gothic"/>
      <family val="3"/>
    </font>
    <font>
      <sz val="11"/>
      <color theme="1" tint="0.24994659260841701"/>
      <name val="Calibri"/>
      <family val="2"/>
      <scheme val="minor"/>
    </font>
    <font>
      <sz val="6"/>
      <color theme="1"/>
      <name val="Calibri"/>
      <family val="2"/>
    </font>
    <font>
      <b/>
      <sz val="11"/>
      <color theme="1" tint="4.9989318521683403E-2"/>
      <name val="Calibri"/>
      <family val="2"/>
    </font>
    <font>
      <u/>
      <sz val="11"/>
      <color theme="10"/>
      <name val="Calibri"/>
      <family val="2"/>
      <scheme val="minor"/>
    </font>
    <font>
      <sz val="10"/>
      <color rgb="FF000000"/>
      <name val="Times New Roman"/>
      <family val="1"/>
    </font>
    <font>
      <sz val="11"/>
      <color theme="0"/>
      <name val="Calibri"/>
      <family val="2"/>
    </font>
    <font>
      <b/>
      <i/>
      <sz val="11"/>
      <name val="Calibri"/>
      <family val="2"/>
    </font>
    <font>
      <b/>
      <u/>
      <sz val="11"/>
      <color theme="10"/>
      <name val="Calibri"/>
      <family val="2"/>
    </font>
    <font>
      <u/>
      <sz val="11"/>
      <color theme="0" tint="-0.499984740745262"/>
      <name val="Calibri"/>
      <family val="2"/>
      <scheme val="minor"/>
    </font>
    <font>
      <strike/>
      <sz val="11"/>
      <name val="Calibri"/>
      <family val="2"/>
    </font>
    <font>
      <b/>
      <sz val="16"/>
      <color rgb="FFFF0000"/>
      <name val="Arial"/>
      <family val="2"/>
    </font>
  </fonts>
  <fills count="79">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D98C24"/>
        <bgColor indexed="64"/>
      </patternFill>
    </fill>
    <fill>
      <patternFill patternType="solid">
        <fgColor rgb="FFA7A6A7"/>
        <bgColor indexed="64"/>
      </patternFill>
    </fill>
    <fill>
      <gradientFill degree="270">
        <stop position="0">
          <color theme="0"/>
        </stop>
        <stop position="1">
          <color theme="0" tint="-5.0965910824915313E-2"/>
        </stop>
      </gradientFill>
    </fill>
    <fill>
      <patternFill patternType="solid">
        <fgColor theme="0" tint="-0.14996795556505021"/>
        <bgColor indexed="64"/>
      </patternFill>
    </fill>
    <fill>
      <patternFill patternType="solid">
        <fgColor theme="9"/>
        <bgColor indexed="64"/>
      </patternFill>
    </fill>
    <fill>
      <patternFill patternType="lightUp">
        <fgColor theme="0" tint="-0.24994659260841701"/>
        <bgColor indexed="65"/>
      </patternFill>
    </fill>
    <fill>
      <patternFill patternType="darkUp">
        <fgColor theme="0" tint="-0.14996795556505021"/>
        <bgColor indexed="65"/>
      </patternFill>
    </fill>
    <fill>
      <patternFill patternType="solid">
        <fgColor rgb="FFEBEBED"/>
        <bgColor indexed="64"/>
      </patternFill>
    </fill>
    <fill>
      <patternFill patternType="lightUp">
        <fgColor theme="1"/>
        <bgColor auto="1"/>
      </patternFill>
    </fill>
    <fill>
      <patternFill patternType="solid">
        <fgColor theme="6"/>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5" tint="0.59999389629810485"/>
        <bgColor indexed="64"/>
      </patternFill>
    </fill>
    <fill>
      <patternFill patternType="darkUp">
        <fgColor theme="0" tint="-0.14996795556505021"/>
        <bgColor rgb="FFA7A6A7"/>
      </patternFill>
    </fill>
    <fill>
      <patternFill patternType="solid">
        <fgColor theme="4" tint="0.39997558519241921"/>
        <bgColor indexed="64"/>
      </patternFill>
    </fill>
    <fill>
      <patternFill patternType="solid">
        <fgColor rgb="FF003353"/>
        <bgColor indexed="64"/>
      </patternFill>
    </fill>
    <fill>
      <patternFill patternType="solid">
        <fgColor rgb="FF004E9A"/>
        <bgColor indexed="64"/>
      </patternFill>
    </fill>
    <fill>
      <patternFill patternType="solid">
        <fgColor rgb="FF317CC0"/>
        <bgColor indexed="64"/>
      </patternFill>
    </fill>
    <fill>
      <patternFill patternType="solid">
        <fgColor rgb="FF76BB40"/>
        <bgColor indexed="64"/>
      </patternFill>
    </fill>
    <fill>
      <patternFill patternType="solid">
        <fgColor rgb="FFACB1BA"/>
        <bgColor indexed="64"/>
      </patternFill>
    </fill>
    <fill>
      <patternFill patternType="solid">
        <fgColor theme="4"/>
        <bgColor theme="4"/>
      </patternFill>
    </fill>
    <fill>
      <patternFill patternType="solid">
        <fgColor theme="6" tint="0.59999389629810485"/>
        <bgColor indexed="65"/>
      </patternFill>
    </fill>
    <fill>
      <gradientFill degree="270">
        <stop position="0">
          <color theme="0"/>
        </stop>
        <stop position="1">
          <color rgb="FF317CC0"/>
        </stop>
      </gradient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theme="5"/>
        <bgColor indexed="64"/>
      </patternFill>
    </fill>
    <fill>
      <patternFill patternType="solid">
        <fgColor theme="0"/>
        <bgColor auto="1"/>
      </patternFill>
    </fill>
    <fill>
      <patternFill patternType="solid">
        <fgColor theme="5" tint="0.79998168889431442"/>
        <bgColor indexed="64"/>
      </patternFill>
    </fill>
    <fill>
      <patternFill patternType="solid">
        <fgColor theme="8" tint="0.39997558519241921"/>
        <bgColor indexed="64"/>
      </patternFill>
    </fill>
    <fill>
      <patternFill patternType="solid">
        <fgColor indexed="65"/>
        <bgColor auto="1"/>
      </patternFill>
    </fill>
    <fill>
      <patternFill patternType="solid">
        <fgColor rgb="FF70AD47"/>
        <bgColor indexed="64"/>
      </patternFill>
    </fill>
    <fill>
      <patternFill patternType="solid">
        <fgColor rgb="FF92D050"/>
        <bgColor indexed="64"/>
      </patternFill>
    </fill>
    <fill>
      <patternFill patternType="solid">
        <fgColor theme="1" tint="0.499984740745262"/>
        <bgColor indexed="64"/>
      </patternFill>
    </fill>
    <fill>
      <patternFill patternType="solid">
        <fgColor theme="4" tint="0.79998168889431442"/>
        <bgColor theme="4" tint="0.79998168889431442"/>
      </patternFill>
    </fill>
  </fills>
  <borders count="23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thin">
        <color indexed="64"/>
      </top>
      <bottom style="thin">
        <color indexed="64"/>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right/>
      <top style="medium">
        <color rgb="FF0D509D"/>
      </top>
      <bottom/>
      <diagonal/>
    </border>
    <border>
      <left/>
      <right/>
      <top style="thin">
        <color rgb="FFA7A6A7"/>
      </top>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499984740745262"/>
      </bottom>
      <diagonal/>
    </border>
    <border>
      <left/>
      <right/>
      <top/>
      <bottom style="medium">
        <color theme="0" tint="-0.14996795556505021"/>
      </bottom>
      <diagonal/>
    </border>
    <border>
      <left/>
      <right/>
      <top style="medium">
        <color theme="0" tint="-0.14996795556505021"/>
      </top>
      <bottom/>
      <diagonal/>
    </border>
    <border>
      <left style="medium">
        <color theme="0" tint="-0.34998626667073579"/>
      </left>
      <right/>
      <top style="medium">
        <color theme="0" tint="-0.34998626667073579"/>
      </top>
      <bottom style="medium">
        <color theme="0" tint="-0.14996795556505021"/>
      </bottom>
      <diagonal/>
    </border>
    <border>
      <left/>
      <right/>
      <top style="medium">
        <color theme="0" tint="-0.34998626667073579"/>
      </top>
      <bottom style="medium">
        <color theme="0" tint="-0.14996795556505021"/>
      </bottom>
      <diagonal/>
    </border>
    <border>
      <left/>
      <right style="medium">
        <color theme="0" tint="-0.14996795556505021"/>
      </right>
      <top style="medium">
        <color theme="0" tint="-0.34998626667073579"/>
      </top>
      <bottom style="medium">
        <color theme="0" tint="-0.149967955565050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14996795556505021"/>
      </right>
      <top style="medium">
        <color theme="0" tint="-0.34998626667073579"/>
      </top>
      <bottom/>
      <diagonal/>
    </border>
    <border>
      <left style="medium">
        <color theme="0" tint="-0.34998626667073579"/>
      </left>
      <right/>
      <top/>
      <bottom/>
      <diagonal/>
    </border>
    <border>
      <left/>
      <right style="medium">
        <color theme="0" tint="-0.14996795556505021"/>
      </right>
      <top/>
      <bottom/>
      <diagonal/>
    </border>
    <border>
      <left style="medium">
        <color theme="0" tint="-0.34998626667073579"/>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34998626667073579"/>
      </left>
      <right style="medium">
        <color theme="0" tint="-0.14996795556505021"/>
      </right>
      <top style="medium">
        <color theme="0" tint="-0.34998626667073579"/>
      </top>
      <bottom style="medium">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dotted">
        <color theme="0" tint="-0.14996795556505021"/>
      </bottom>
      <diagonal/>
    </border>
    <border>
      <left/>
      <right style="thin">
        <color theme="0" tint="-0.34998626667073579"/>
      </right>
      <top/>
      <bottom style="dotted">
        <color theme="0" tint="-0.14996795556505021"/>
      </bottom>
      <diagonal/>
    </border>
    <border>
      <left style="thin">
        <color theme="0" tint="-0.34998626667073579"/>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thin">
        <color theme="0" tint="-0.34998626667073579"/>
      </right>
      <top style="dotted">
        <color theme="0" tint="-0.14996795556505021"/>
      </top>
      <bottom style="dotted">
        <color theme="0" tint="-0.14996795556505021"/>
      </bottom>
      <diagonal/>
    </border>
    <border>
      <left/>
      <right/>
      <top style="dotted">
        <color theme="0" tint="-0.149967955565050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medium">
        <color indexed="64"/>
      </bottom>
      <diagonal/>
    </border>
    <border>
      <left/>
      <right/>
      <top/>
      <bottom style="medium">
        <color theme="0" tint="-0.14993743705557422"/>
      </bottom>
      <diagonal/>
    </border>
    <border>
      <left/>
      <right/>
      <top style="medium">
        <color theme="0" tint="-0.1499374370555742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rgb="FF0C4F9C"/>
      </left>
      <right/>
      <top/>
      <bottom/>
      <diagonal/>
    </border>
    <border>
      <left/>
      <right style="thin">
        <color rgb="FF0C4F9C"/>
      </right>
      <top/>
      <bottom/>
      <diagonal/>
    </border>
    <border>
      <left style="thin">
        <color rgb="FF0C4F9C"/>
      </left>
      <right/>
      <top/>
      <bottom style="thin">
        <color rgb="FF0C4F9C"/>
      </bottom>
      <diagonal/>
    </border>
    <border>
      <left/>
      <right/>
      <top/>
      <bottom style="thin">
        <color rgb="FF0C4F9C"/>
      </bottom>
      <diagonal/>
    </border>
    <border>
      <left/>
      <right style="thin">
        <color rgb="FF0C4F9C"/>
      </right>
      <top/>
      <bottom style="thin">
        <color rgb="FF0C4F9C"/>
      </bottom>
      <diagonal/>
    </border>
    <border>
      <left style="thin">
        <color rgb="FF0C4F9C"/>
      </left>
      <right/>
      <top style="thin">
        <color rgb="FF0C4F9C"/>
      </top>
      <bottom/>
      <diagonal/>
    </border>
    <border>
      <left/>
      <right/>
      <top style="thin">
        <color rgb="FF0C4F9C"/>
      </top>
      <bottom/>
      <diagonal/>
    </border>
    <border>
      <left/>
      <right style="thin">
        <color rgb="FF0C4F9C"/>
      </right>
      <top style="thin">
        <color rgb="FF0C4F9C"/>
      </top>
      <bottom/>
      <diagonal/>
    </border>
    <border>
      <left style="thin">
        <color rgb="FF0C4F9C"/>
      </left>
      <right/>
      <top style="thin">
        <color rgb="FF0C4F9C"/>
      </top>
      <bottom style="thin">
        <color rgb="FF00334E"/>
      </bottom>
      <diagonal/>
    </border>
    <border>
      <left/>
      <right/>
      <top style="thin">
        <color rgb="FF0C4F9C"/>
      </top>
      <bottom style="thin">
        <color rgb="FF00334E"/>
      </bottom>
      <diagonal/>
    </border>
    <border>
      <left/>
      <right style="thin">
        <color rgb="FF0C4F9C"/>
      </right>
      <top style="thin">
        <color rgb="FF0C4F9C"/>
      </top>
      <bottom style="thin">
        <color rgb="FF00334E"/>
      </bottom>
      <diagonal/>
    </border>
    <border>
      <left style="thin">
        <color rgb="FF0C4F9C"/>
      </left>
      <right style="thin">
        <color rgb="FF0C4F9C"/>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medium">
        <color theme="0"/>
      </top>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medium">
        <color auto="1"/>
      </bottom>
      <diagonal/>
    </border>
    <border>
      <left/>
      <right/>
      <top style="medium">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4" tint="0.39997558519241921"/>
      </top>
      <bottom style="thin">
        <color theme="4" tint="0.39997558519241921"/>
      </bottom>
      <diagonal/>
    </border>
    <border>
      <left/>
      <right/>
      <top style="thin">
        <color theme="0" tint="-0.499984740745262"/>
      </top>
      <bottom style="thin">
        <color theme="0" tint="-0.499984740745262"/>
      </bottom>
      <diagonal/>
    </border>
    <border>
      <left/>
      <right/>
      <top/>
      <bottom style="thin">
        <color theme="4" tint="0.39997558519241921"/>
      </bottom>
      <diagonal/>
    </border>
    <border>
      <left/>
      <right/>
      <top style="thin">
        <color theme="4" tint="0.39997558519241921"/>
      </top>
      <bottom/>
      <diagonal/>
    </border>
    <border>
      <left style="thin">
        <color rgb="FF76BB40"/>
      </left>
      <right/>
      <top style="thin">
        <color rgb="FF76BB40"/>
      </top>
      <bottom/>
      <diagonal/>
    </border>
    <border>
      <left/>
      <right/>
      <top style="thin">
        <color rgb="FF76BB40"/>
      </top>
      <bottom/>
      <diagonal/>
    </border>
    <border>
      <left/>
      <right style="thin">
        <color rgb="FF76BB40"/>
      </right>
      <top style="thin">
        <color rgb="FF76BB40"/>
      </top>
      <bottom/>
      <diagonal/>
    </border>
    <border>
      <left style="thin">
        <color rgb="FF76BB40"/>
      </left>
      <right/>
      <top/>
      <bottom style="thin">
        <color rgb="FF76BB40"/>
      </bottom>
      <diagonal/>
    </border>
    <border>
      <left/>
      <right/>
      <top/>
      <bottom style="thin">
        <color rgb="FF76BB40"/>
      </bottom>
      <diagonal/>
    </border>
    <border>
      <left/>
      <right style="thin">
        <color rgb="FF76BB40"/>
      </right>
      <top/>
      <bottom style="thin">
        <color rgb="FF76BB4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34998626667073579"/>
      </left>
      <right style="medium">
        <color theme="0" tint="-0.499984740745262"/>
      </right>
      <top/>
      <bottom style="thin">
        <color theme="0" tint="-0.34998626667073579"/>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medium">
        <color theme="0" tint="-0.34998626667073579"/>
      </right>
      <top/>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499984740745262"/>
      </left>
      <right/>
      <top/>
      <bottom/>
      <diagonal/>
    </border>
    <border>
      <left/>
      <right style="thin">
        <color theme="0" tint="-0.499984740745262"/>
      </right>
      <top/>
      <bottom/>
      <diagonal/>
    </border>
    <border>
      <left/>
      <right style="medium">
        <color theme="0" tint="-0.499984740745262"/>
      </right>
      <top style="thin">
        <color theme="0" tint="-0.499984740745262"/>
      </top>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style="medium">
        <color theme="0" tint="-0.499984740745262"/>
      </left>
      <right/>
      <top/>
      <bottom style="thin">
        <color theme="0" tint="-0.34998626667073579"/>
      </bottom>
      <diagonal/>
    </border>
    <border>
      <left style="thin">
        <color theme="0" tint="-0.34998626667073579"/>
      </left>
      <right style="thin">
        <color theme="0" tint="-0.34998626667073579"/>
      </right>
      <top/>
      <bottom/>
      <diagonal/>
    </border>
    <border>
      <left/>
      <right/>
      <top/>
      <bottom style="medium">
        <color theme="0" tint="-0.34998626667073579"/>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14996795556505021"/>
      </left>
      <right/>
      <top/>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style="medium">
        <color theme="0" tint="-0.34998626667073579"/>
      </left>
      <right/>
      <top style="medium">
        <color indexed="64"/>
      </top>
      <bottom/>
      <diagonal/>
    </border>
    <border>
      <left style="medium">
        <color theme="0" tint="-0.34998626667073579"/>
      </left>
      <right/>
      <top/>
      <bottom style="thin">
        <color theme="0" tint="-0.34998626667073579"/>
      </bottom>
      <diagonal/>
    </border>
    <border>
      <left/>
      <right style="medium">
        <color theme="0" tint="-0.34998626667073579"/>
      </right>
      <top style="medium">
        <color indexed="64"/>
      </top>
      <bottom/>
      <diagonal/>
    </border>
    <border>
      <left/>
      <right style="medium">
        <color theme="0" tint="-0.34998626667073579"/>
      </right>
      <top/>
      <bottom style="thin">
        <color theme="0" tint="-0.34998626667073579"/>
      </bottom>
      <diagonal/>
    </border>
    <border>
      <left style="medium">
        <color theme="0" tint="-0.499984740745262"/>
      </left>
      <right/>
      <top style="medium">
        <color indexed="64"/>
      </top>
      <bottom/>
      <diagonal/>
    </border>
    <border>
      <left style="medium">
        <color theme="0" tint="-0.34998626667073579"/>
      </left>
      <right style="thin">
        <color theme="0" tint="-0.34998626667073579"/>
      </right>
      <top style="medium">
        <color indexed="64"/>
      </top>
      <bottom/>
      <diagonal/>
    </border>
    <border>
      <left style="thin">
        <color theme="0" tint="-0.34998626667073579"/>
      </left>
      <right style="medium">
        <color theme="0" tint="-0.499984740745262"/>
      </right>
      <top style="medium">
        <color indexed="64"/>
      </top>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top style="dotted">
        <color theme="0" tint="-0.14996795556505021"/>
      </top>
      <bottom style="thin">
        <color theme="0" tint="-0.34998626667073579"/>
      </bottom>
      <diagonal/>
    </border>
    <border>
      <left/>
      <right/>
      <top style="dotted">
        <color theme="0" tint="-0.14996795556505021"/>
      </top>
      <bottom style="thin">
        <color theme="0" tint="-0.34998626667073579"/>
      </bottom>
      <diagonal/>
    </border>
    <border>
      <left/>
      <right style="thin">
        <color theme="0" tint="-0.34998626667073579"/>
      </right>
      <top style="dotted">
        <color theme="0" tint="-0.14996795556505021"/>
      </top>
      <bottom style="thin">
        <color theme="0" tint="-0.34998626667073579"/>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theme="0" tint="-0.34998626667073579"/>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34998626667073579"/>
      </right>
      <top/>
      <bottom style="thin">
        <color theme="0" tint="-0.499984740745262"/>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diagonal/>
    </border>
    <border>
      <left/>
      <right style="thin">
        <color theme="0" tint="-0.34998626667073579"/>
      </right>
      <top style="medium">
        <color theme="0" tint="-0.34998626667073579"/>
      </top>
      <bottom/>
      <diagonal/>
    </border>
    <border>
      <left style="medium">
        <color theme="0" tint="-0.499984740745262"/>
      </left>
      <right style="thin">
        <color theme="0" tint="-0.34998626667073579"/>
      </right>
      <top style="thin">
        <color theme="0" tint="-0.34998626667073579"/>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thin">
        <color theme="0" tint="-0.499984740745262"/>
      </left>
      <right style="thin">
        <color theme="0" tint="-0.499984740745262"/>
      </right>
      <top style="thin">
        <color theme="0" tint="-0.499984740745262"/>
      </top>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34998626667073579"/>
      </right>
      <top style="medium">
        <color indexed="64"/>
      </top>
      <bottom/>
      <diagonal/>
    </border>
    <border>
      <left style="medium">
        <color theme="0" tint="-0.34998626667073579"/>
      </left>
      <right style="medium">
        <color theme="0" tint="-0.34998626667073579"/>
      </right>
      <top style="medium">
        <color indexed="64"/>
      </top>
      <bottom/>
      <diagonal/>
    </border>
    <border>
      <left style="medium">
        <color theme="0" tint="-0.34998626667073579"/>
      </left>
      <right style="medium">
        <color theme="0" tint="-0.34998626667073579"/>
      </right>
      <top style="medium">
        <color indexed="64"/>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499984740745262"/>
      </right>
      <top style="medium">
        <color indexed="64"/>
      </top>
      <bottom/>
      <diagonal/>
    </border>
    <border>
      <left/>
      <right style="thin">
        <color theme="0" tint="-0.34998626667073579"/>
      </right>
      <top style="thin">
        <color theme="0" tint="-0.499984740745262"/>
      </top>
      <bottom style="thin">
        <color theme="0" tint="-0.499984740745262"/>
      </bottom>
      <diagonal/>
    </border>
    <border>
      <left/>
      <right style="thin">
        <color theme="0" tint="-0.34998626667073579"/>
      </right>
      <top/>
      <bottom style="thin">
        <color theme="0" tint="-0.499984740745262"/>
      </bottom>
      <diagonal/>
    </border>
    <border>
      <left style="thin">
        <color theme="0" tint="-0.34998626667073579"/>
      </left>
      <right style="medium">
        <color theme="0" tint="-0.499984740745262"/>
      </right>
      <top style="thin">
        <color theme="0" tint="-0.34998626667073579"/>
      </top>
      <bottom style="thin">
        <color theme="0" tint="-0.499984740745262"/>
      </bottom>
      <diagonal/>
    </border>
    <border>
      <left style="thin">
        <color theme="0" tint="-0.34998626667073579"/>
      </left>
      <right style="medium">
        <color theme="0" tint="-0.34998626667073579"/>
      </right>
      <top style="medium">
        <color indexed="64"/>
      </top>
      <bottom/>
      <diagonal/>
    </border>
    <border>
      <left style="medium">
        <color theme="0" tint="-0.34998626667073579"/>
      </left>
      <right style="thin">
        <color theme="0" tint="-0.34998626667073579"/>
      </right>
      <top style="medium">
        <color indexed="64"/>
      </top>
      <bottom style="thin">
        <color theme="0" tint="-0.34998626667073579"/>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style="medium">
        <color theme="0" tint="-0.34998626667073579"/>
      </right>
      <top style="thin">
        <color theme="0" tint="-0.34998626667073579"/>
      </top>
      <bottom/>
      <diagonal/>
    </border>
    <border>
      <left style="thin">
        <color theme="0" tint="-0.499984740745262"/>
      </left>
      <right style="medium">
        <color theme="0" tint="-0.34998626667073579"/>
      </right>
      <top/>
      <bottom style="thin">
        <color theme="0" tint="-0.34998626667073579"/>
      </bottom>
      <diagonal/>
    </border>
    <border>
      <left style="thin">
        <color theme="0" tint="-0.499984740745262"/>
      </left>
      <right style="medium">
        <color theme="0" tint="-0.34998626667073579"/>
      </right>
      <top style="thin">
        <color theme="0" tint="-0.34998626667073579"/>
      </top>
      <bottom/>
      <diagonal/>
    </border>
    <border>
      <left style="thin">
        <color theme="0" tint="-0.34998626667073579"/>
      </left>
      <right style="medium">
        <color theme="0" tint="-0.34998626667073579"/>
      </right>
      <top style="medium">
        <color indexed="64"/>
      </top>
      <bottom style="thin">
        <color theme="0" tint="-0.34998626667073579"/>
      </bottom>
      <diagonal/>
    </border>
    <border>
      <left style="medium">
        <color theme="0" tint="-0.34998626667073579"/>
      </left>
      <right style="thin">
        <color theme="0" tint="-0.499984740745262"/>
      </right>
      <top/>
      <bottom style="thin">
        <color theme="0" tint="-0.34998626667073579"/>
      </bottom>
      <diagonal/>
    </border>
    <border>
      <left style="medium">
        <color theme="0" tint="-0.34998626667073579"/>
      </left>
      <right style="thin">
        <color theme="0" tint="-0.499984740745262"/>
      </right>
      <top style="thin">
        <color theme="0" tint="-0.34998626667073579"/>
      </top>
      <bottom/>
      <diagonal/>
    </border>
    <border>
      <left/>
      <right style="medium">
        <color theme="0" tint="-0.34998626667073579"/>
      </right>
      <top style="thin">
        <color theme="0" tint="-0.34998626667073579"/>
      </top>
      <bottom/>
      <diagonal/>
    </border>
    <border>
      <left style="thin">
        <color theme="0" tint="-0.499984740745262"/>
      </left>
      <right style="thin">
        <color theme="0" tint="-0.499984740745262"/>
      </right>
      <top style="medium">
        <color indexed="64"/>
      </top>
      <bottom/>
      <diagonal/>
    </border>
    <border>
      <left/>
      <right style="medium">
        <color theme="0" tint="-0.499984740745262"/>
      </right>
      <top/>
      <bottom/>
      <diagonal/>
    </border>
    <border>
      <left style="medium">
        <color theme="0" tint="-0.499984740745262"/>
      </left>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32">
    <xf numFmtId="0" fontId="0" fillId="0" borderId="0"/>
    <xf numFmtId="0" fontId="8" fillId="0" borderId="0" applyNumberFormat="0" applyFill="0" applyBorder="0" applyAlignment="0" applyProtection="0"/>
    <xf numFmtId="0" fontId="9" fillId="0" borderId="0" applyNumberFormat="0" applyAlignment="0" applyProtection="0"/>
    <xf numFmtId="9" fontId="12" fillId="0" borderId="0" applyFont="0" applyFill="0" applyBorder="0" applyAlignment="0" applyProtection="0"/>
    <xf numFmtId="0" fontId="9" fillId="0" borderId="0" applyNumberFormat="0" applyAlignment="0" applyProtection="0"/>
    <xf numFmtId="0" fontId="15" fillId="0" borderId="0"/>
    <xf numFmtId="9" fontId="9" fillId="0" borderId="0" applyFont="0" applyFill="0" applyBorder="0" applyAlignment="0" applyProtection="0"/>
    <xf numFmtId="0" fontId="33" fillId="0" borderId="0"/>
    <xf numFmtId="0" fontId="9" fillId="0" borderId="0"/>
    <xf numFmtId="0" fontId="38" fillId="0" borderId="0"/>
    <xf numFmtId="0" fontId="39" fillId="0" borderId="0" applyNumberForma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9" fillId="0" borderId="0" applyFont="0" applyFill="0" applyBorder="0" applyAlignment="0" applyProtection="0"/>
    <xf numFmtId="0" fontId="33" fillId="0" borderId="0"/>
    <xf numFmtId="43" fontId="9" fillId="0" borderId="0" applyFont="0" applyFill="0" applyBorder="0" applyAlignment="0" applyProtection="0"/>
    <xf numFmtId="0" fontId="150" fillId="0" borderId="178" applyNumberFormat="0" applyFill="0" applyAlignment="0" applyProtection="0"/>
    <xf numFmtId="0" fontId="151" fillId="0" borderId="179" applyNumberFormat="0" applyFill="0" applyAlignment="0" applyProtection="0"/>
    <xf numFmtId="0" fontId="152" fillId="0" borderId="180" applyNumberFormat="0" applyFill="0" applyAlignment="0" applyProtection="0"/>
    <xf numFmtId="0" fontId="152" fillId="0" borderId="0" applyNumberFormat="0" applyFill="0" applyBorder="0" applyAlignment="0" applyProtection="0"/>
    <xf numFmtId="0" fontId="153" fillId="39" borderId="0" applyNumberFormat="0" applyBorder="0" applyAlignment="0" applyProtection="0"/>
    <xf numFmtId="0" fontId="154" fillId="40" borderId="0" applyNumberFormat="0" applyBorder="0" applyAlignment="0" applyProtection="0"/>
    <xf numFmtId="0" fontId="155" fillId="42" borderId="181" applyNumberFormat="0" applyAlignment="0" applyProtection="0"/>
    <xf numFmtId="0" fontId="156" fillId="43" borderId="182" applyNumberFormat="0" applyAlignment="0" applyProtection="0"/>
    <xf numFmtId="0" fontId="157" fillId="43" borderId="181" applyNumberFormat="0" applyAlignment="0" applyProtection="0"/>
    <xf numFmtId="0" fontId="158" fillId="0" borderId="183" applyNumberFormat="0" applyFill="0" applyAlignment="0" applyProtection="0"/>
    <xf numFmtId="0" fontId="159" fillId="44" borderId="184" applyNumberFormat="0" applyAlignment="0" applyProtection="0"/>
    <xf numFmtId="0" fontId="136" fillId="0" borderId="0" applyNumberFormat="0" applyFill="0" applyBorder="0" applyAlignment="0" applyProtection="0"/>
    <xf numFmtId="0" fontId="160" fillId="0" borderId="0" applyNumberFormat="0" applyFill="0" applyBorder="0" applyAlignment="0" applyProtection="0"/>
    <xf numFmtId="0" fontId="161" fillId="0" borderId="186" applyNumberFormat="0" applyFill="0" applyAlignment="0" applyProtection="0"/>
    <xf numFmtId="0" fontId="162"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162"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162" fillId="54" borderId="0" applyNumberFormat="0" applyBorder="0" applyAlignment="0" applyProtection="0"/>
    <xf numFmtId="0" fontId="7" fillId="55" borderId="0" applyNumberFormat="0" applyBorder="0" applyAlignment="0" applyProtection="0"/>
    <xf numFmtId="0" fontId="162"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162" fillId="61"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162" fillId="65"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0" borderId="0"/>
    <xf numFmtId="0" fontId="7" fillId="36"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62" fillId="56" borderId="0" applyNumberFormat="0" applyBorder="0" applyAlignment="0" applyProtection="0"/>
    <xf numFmtId="0" fontId="162" fillId="60" borderId="0" applyNumberFormat="0" applyBorder="0" applyAlignment="0" applyProtection="0"/>
    <xf numFmtId="0" fontId="162" fillId="64" borderId="0" applyNumberFormat="0" applyBorder="0" applyAlignment="0" applyProtection="0"/>
    <xf numFmtId="0" fontId="162" fillId="68" borderId="0" applyNumberFormat="0" applyBorder="0" applyAlignment="0" applyProtection="0"/>
    <xf numFmtId="0" fontId="163" fillId="0" borderId="189" applyNumberFormat="0" applyFont="0" applyProtection="0">
      <alignment wrapText="1"/>
    </xf>
    <xf numFmtId="0" fontId="164" fillId="0" borderId="0" applyNumberFormat="0" applyFill="0" applyBorder="0" applyAlignment="0" applyProtection="0">
      <alignment vertical="top"/>
      <protection locked="0"/>
    </xf>
    <xf numFmtId="0" fontId="163" fillId="0" borderId="0" applyNumberFormat="0" applyFill="0" applyBorder="0" applyAlignment="0" applyProtection="0"/>
    <xf numFmtId="0" fontId="163" fillId="0" borderId="0" applyNumberFormat="0" applyProtection="0">
      <alignment vertical="top" wrapText="1"/>
    </xf>
    <xf numFmtId="0" fontId="163" fillId="0" borderId="190" applyNumberFormat="0" applyProtection="0">
      <alignment vertical="top" wrapText="1"/>
    </xf>
    <xf numFmtId="0" fontId="165" fillId="0" borderId="178" applyNumberFormat="0" applyProtection="0">
      <alignment wrapText="1"/>
    </xf>
    <xf numFmtId="0" fontId="165" fillId="0" borderId="191" applyNumberFormat="0" applyProtection="0">
      <alignment horizontal="left" wrapText="1"/>
    </xf>
    <xf numFmtId="0" fontId="166" fillId="0" borderId="0" applyNumberFormat="0" applyFill="0" applyBorder="0" applyAlignment="0" applyProtection="0">
      <alignment vertical="top"/>
      <protection locked="0"/>
    </xf>
    <xf numFmtId="0" fontId="167" fillId="41" borderId="0" applyNumberFormat="0" applyBorder="0" applyAlignment="0" applyProtection="0"/>
    <xf numFmtId="0" fontId="33" fillId="0" borderId="0"/>
    <xf numFmtId="0" fontId="7" fillId="45" borderId="185" applyNumberFormat="0" applyFont="0" applyAlignment="0" applyProtection="0"/>
    <xf numFmtId="0" fontId="165" fillId="0" borderId="192" applyNumberFormat="0" applyProtection="0">
      <alignment wrapText="1"/>
    </xf>
    <xf numFmtId="0" fontId="163" fillId="0" borderId="193" applyNumberFormat="0" applyFont="0" applyFill="0" applyProtection="0">
      <alignment wrapText="1"/>
    </xf>
    <xf numFmtId="0" fontId="165" fillId="0" borderId="194" applyNumberFormat="0" applyFill="0" applyProtection="0">
      <alignment wrapText="1"/>
    </xf>
    <xf numFmtId="0" fontId="168" fillId="0" borderId="0" applyNumberFormat="0" applyProtection="0">
      <alignment horizontal="left"/>
    </xf>
    <xf numFmtId="0" fontId="169" fillId="0" borderId="0" applyNumberFormat="0" applyFill="0" applyBorder="0" applyAlignment="0" applyProtection="0"/>
    <xf numFmtId="0" fontId="6" fillId="0" borderId="0"/>
    <xf numFmtId="0" fontId="33" fillId="0" borderId="0"/>
    <xf numFmtId="0" fontId="4" fillId="36"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0" borderId="0"/>
    <xf numFmtId="0" fontId="4" fillId="36" borderId="0" applyNumberFormat="0" applyBorder="0" applyAlignment="0" applyProtection="0"/>
    <xf numFmtId="0" fontId="4" fillId="45" borderId="185" applyNumberFormat="0" applyFont="0" applyAlignment="0" applyProtection="0"/>
    <xf numFmtId="0" fontId="4" fillId="0" borderId="0"/>
    <xf numFmtId="0" fontId="3" fillId="0" borderId="0"/>
    <xf numFmtId="44" fontId="3" fillId="0" borderId="0" applyFont="0" applyFill="0" applyBorder="0" applyAlignment="0" applyProtection="0"/>
    <xf numFmtId="0" fontId="183"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84" fillId="0" borderId="0"/>
    <xf numFmtId="0" fontId="30" fillId="0" borderId="0"/>
    <xf numFmtId="0" fontId="3" fillId="0" borderId="0"/>
    <xf numFmtId="43" fontId="2" fillId="0" borderId="0" applyFont="0" applyFill="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0" borderId="0"/>
    <xf numFmtId="0" fontId="3" fillId="36" borderId="0" applyNumberFormat="0" applyBorder="0" applyAlignment="0" applyProtection="0"/>
    <xf numFmtId="0" fontId="3" fillId="45" borderId="185" applyNumberFormat="0" applyFont="0" applyAlignment="0" applyProtection="0"/>
    <xf numFmtId="0" fontId="3" fillId="0" borderId="0"/>
    <xf numFmtId="0" fontId="3" fillId="3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0" borderId="0"/>
    <xf numFmtId="0" fontId="3" fillId="36" borderId="0" applyNumberFormat="0" applyBorder="0" applyAlignment="0" applyProtection="0"/>
    <xf numFmtId="0" fontId="3" fillId="45" borderId="185" applyNumberFormat="0" applyFont="0" applyAlignment="0" applyProtection="0"/>
    <xf numFmtId="0" fontId="3" fillId="0" borderId="0"/>
    <xf numFmtId="0" fontId="2" fillId="0" borderId="0"/>
    <xf numFmtId="44" fontId="2" fillId="0" borderId="0" applyFont="0" applyFill="0" applyBorder="0" applyAlignment="0" applyProtection="0"/>
  </cellStyleXfs>
  <cellXfs count="1520">
    <xf numFmtId="0" fontId="0" fillId="0" borderId="0" xfId="0"/>
    <xf numFmtId="0" fontId="0" fillId="0" borderId="0" xfId="0" applyAlignment="1">
      <alignment wrapText="1"/>
    </xf>
    <xf numFmtId="0" fontId="17" fillId="0" borderId="0" xfId="0" applyFont="1"/>
    <xf numFmtId="0" fontId="17" fillId="0" borderId="0" xfId="0" applyFont="1" applyAlignment="1">
      <alignment horizontal="center"/>
    </xf>
    <xf numFmtId="14" fontId="18" fillId="0" borderId="1" xfId="0" applyNumberFormat="1" applyFont="1" applyBorder="1" applyAlignment="1">
      <alignment horizontal="center"/>
    </xf>
    <xf numFmtId="0" fontId="18" fillId="0" borderId="1" xfId="0" applyFont="1" applyBorder="1" applyAlignment="1">
      <alignment horizontal="center" wrapText="1"/>
    </xf>
    <xf numFmtId="49" fontId="18" fillId="0" borderId="1" xfId="0" applyNumberFormat="1" applyFont="1" applyBorder="1" applyAlignment="1">
      <alignment horizontal="left" wrapText="1"/>
    </xf>
    <xf numFmtId="0" fontId="18" fillId="0" borderId="1" xfId="0" applyFont="1" applyBorder="1" applyAlignment="1">
      <alignment horizontal="left" vertical="center" wrapText="1"/>
    </xf>
    <xf numFmtId="0" fontId="18" fillId="0" borderId="0" xfId="0" applyFont="1"/>
    <xf numFmtId="10" fontId="0" fillId="0" borderId="0" xfId="6" applyNumberFormat="1" applyFont="1"/>
    <xf numFmtId="169" fontId="0" fillId="0" borderId="0" xfId="0" applyNumberFormat="1"/>
    <xf numFmtId="0" fontId="0" fillId="0" borderId="1" xfId="0" applyBorder="1"/>
    <xf numFmtId="171"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21" fillId="0" borderId="0" xfId="0" applyFont="1" applyAlignment="1">
      <alignment horizontal="left"/>
    </xf>
    <xf numFmtId="0" fontId="0" fillId="0" borderId="0" xfId="0" applyAlignment="1">
      <alignment horizontal="left"/>
    </xf>
    <xf numFmtId="49" fontId="0" fillId="0" borderId="0" xfId="0" applyNumberFormat="1"/>
    <xf numFmtId="0" fontId="24" fillId="0" borderId="0" xfId="0" applyFont="1"/>
    <xf numFmtId="169" fontId="24" fillId="0" borderId="0" xfId="0" applyNumberFormat="1" applyFont="1"/>
    <xf numFmtId="0" fontId="11" fillId="0" borderId="0" xfId="0" applyFont="1"/>
    <xf numFmtId="0" fontId="9" fillId="0" borderId="0" xfId="0" applyFont="1"/>
    <xf numFmtId="0" fontId="19" fillId="0" borderId="0" xfId="0" applyFont="1"/>
    <xf numFmtId="0" fontId="0" fillId="0" borderId="11" xfId="0" applyBorder="1"/>
    <xf numFmtId="1" fontId="0" fillId="0" borderId="0" xfId="0" applyNumberFormat="1"/>
    <xf numFmtId="176" fontId="0" fillId="0" borderId="0" xfId="0" applyNumberFormat="1"/>
    <xf numFmtId="0" fontId="0" fillId="0" borderId="12" xfId="0" applyBorder="1"/>
    <xf numFmtId="0" fontId="0" fillId="0" borderId="14" xfId="0" applyBorder="1"/>
    <xf numFmtId="0" fontId="0" fillId="0" borderId="5" xfId="0" applyBorder="1"/>
    <xf numFmtId="0" fontId="0" fillId="14" borderId="0" xfId="0" applyFill="1"/>
    <xf numFmtId="172" fontId="0" fillId="0" borderId="0" xfId="0" applyNumberFormat="1"/>
    <xf numFmtId="0" fontId="0" fillId="0" borderId="0" xfId="0" quotePrefix="1"/>
    <xf numFmtId="0" fontId="34" fillId="0" borderId="0" xfId="0" applyFont="1" applyAlignment="1">
      <alignment wrapText="1"/>
    </xf>
    <xf numFmtId="177" fontId="0" fillId="0" borderId="0" xfId="0" applyNumberFormat="1"/>
    <xf numFmtId="49" fontId="22" fillId="0" borderId="0" xfId="0" applyNumberFormat="1" applyFont="1"/>
    <xf numFmtId="0" fontId="22" fillId="0" borderId="0" xfId="0" applyFont="1"/>
    <xf numFmtId="0" fontId="0" fillId="0" borderId="10" xfId="0" applyBorder="1"/>
    <xf numFmtId="0" fontId="28" fillId="0" borderId="0" xfId="0" applyFont="1"/>
    <xf numFmtId="0" fontId="28" fillId="0" borderId="0" xfId="0" applyFont="1" applyAlignment="1">
      <alignment horizontal="center"/>
    </xf>
    <xf numFmtId="167" fontId="0" fillId="0" borderId="0" xfId="0" applyNumberFormat="1"/>
    <xf numFmtId="0" fontId="0" fillId="0" borderId="13" xfId="0" applyBorder="1"/>
    <xf numFmtId="0" fontId="0" fillId="0" borderId="3" xfId="0" applyBorder="1"/>
    <xf numFmtId="0" fontId="11" fillId="0" borderId="0" xfId="0" applyFont="1" applyAlignment="1">
      <alignment horizontal="center"/>
    </xf>
    <xf numFmtId="0" fontId="42" fillId="0" borderId="0" xfId="1" applyFont="1" applyBorder="1" applyAlignment="1">
      <alignment horizontal="center"/>
    </xf>
    <xf numFmtId="0" fontId="10" fillId="0" borderId="0" xfId="0" applyFont="1"/>
    <xf numFmtId="0" fontId="11" fillId="0" borderId="4" xfId="0" applyFont="1" applyBorder="1"/>
    <xf numFmtId="0" fontId="28" fillId="0" borderId="0" xfId="0" applyFont="1" applyAlignment="1">
      <alignment horizontal="center" vertical="center" wrapText="1"/>
    </xf>
    <xf numFmtId="0" fontId="0" fillId="13" borderId="0" xfId="0" applyFill="1"/>
    <xf numFmtId="0" fontId="41" fillId="0" borderId="0" xfId="0" applyFont="1" applyAlignment="1">
      <alignment vertical="center"/>
    </xf>
    <xf numFmtId="0" fontId="43" fillId="0" borderId="0" xfId="0" applyFont="1" applyAlignment="1">
      <alignment vertical="center" wrapText="1"/>
    </xf>
    <xf numFmtId="0" fontId="41" fillId="0" borderId="4" xfId="0" applyFont="1" applyBorder="1" applyAlignment="1">
      <alignment vertical="center"/>
    </xf>
    <xf numFmtId="0" fontId="32" fillId="0" borderId="0" xfId="0" applyFont="1" applyAlignment="1">
      <alignment horizontal="left"/>
    </xf>
    <xf numFmtId="0" fontId="32" fillId="0" borderId="0" xfId="0" applyFont="1"/>
    <xf numFmtId="0" fontId="35" fillId="0" borderId="0" xfId="0" applyFont="1" applyAlignment="1">
      <alignment horizontal="left"/>
    </xf>
    <xf numFmtId="0" fontId="37" fillId="0" borderId="0" xfId="0" applyFont="1" applyAlignment="1">
      <alignment horizontal="left" indent="1"/>
    </xf>
    <xf numFmtId="0" fontId="13" fillId="0" borderId="0" xfId="0" applyFont="1"/>
    <xf numFmtId="0" fontId="37" fillId="0" borderId="0" xfId="0" applyFont="1"/>
    <xf numFmtId="0" fontId="0" fillId="9" borderId="0" xfId="0" applyFill="1"/>
    <xf numFmtId="0" fontId="51" fillId="0" borderId="0" xfId="0" applyFont="1"/>
    <xf numFmtId="0" fontId="33" fillId="0" borderId="0" xfId="14"/>
    <xf numFmtId="181" fontId="33" fillId="0" borderId="0" xfId="13" applyNumberFormat="1" applyFont="1" applyBorder="1"/>
    <xf numFmtId="9" fontId="0" fillId="0" borderId="0" xfId="6" applyFont="1"/>
    <xf numFmtId="2" fontId="48" fillId="0" borderId="0" xfId="0" applyNumberFormat="1" applyFont="1" applyAlignment="1">
      <alignment vertical="center" wrapText="1"/>
    </xf>
    <xf numFmtId="2" fontId="48" fillId="0" borderId="0" xfId="0" applyNumberFormat="1" applyFont="1" applyAlignment="1">
      <alignment vertical="center"/>
    </xf>
    <xf numFmtId="0" fontId="54" fillId="0" borderId="0" xfId="0" applyFont="1"/>
    <xf numFmtId="0" fontId="54" fillId="0" borderId="23" xfId="0" applyFont="1" applyBorder="1"/>
    <xf numFmtId="0" fontId="57" fillId="0" borderId="0" xfId="0" applyFont="1" applyAlignment="1">
      <alignment vertical="center"/>
    </xf>
    <xf numFmtId="0" fontId="59" fillId="0" borderId="0" xfId="0" applyFont="1" applyAlignment="1">
      <alignment vertical="center"/>
    </xf>
    <xf numFmtId="0" fontId="58" fillId="0" borderId="0" xfId="0" applyFont="1"/>
    <xf numFmtId="0" fontId="0" fillId="4" borderId="0" xfId="0" applyFill="1"/>
    <xf numFmtId="0" fontId="0" fillId="0" borderId="34" xfId="0" applyBorder="1"/>
    <xf numFmtId="0" fontId="0" fillId="0" borderId="35" xfId="0" applyBorder="1"/>
    <xf numFmtId="0" fontId="0" fillId="4" borderId="35" xfId="0" applyFill="1" applyBorder="1"/>
    <xf numFmtId="0" fontId="62" fillId="0" borderId="0" xfId="0" applyFont="1" applyAlignment="1">
      <alignment vertical="center"/>
    </xf>
    <xf numFmtId="0" fontId="65" fillId="0" borderId="0" xfId="0" applyFont="1"/>
    <xf numFmtId="0" fontId="66" fillId="0" borderId="0" xfId="0" applyFont="1" applyAlignment="1">
      <alignment vertical="top"/>
    </xf>
    <xf numFmtId="0" fontId="66" fillId="0" borderId="0" xfId="0" applyFont="1" applyAlignment="1">
      <alignment horizontal="center" vertical="top" wrapText="1"/>
    </xf>
    <xf numFmtId="0" fontId="69" fillId="0" borderId="0" xfId="0" applyFont="1" applyAlignment="1">
      <alignment horizontal="center"/>
    </xf>
    <xf numFmtId="0" fontId="72" fillId="0" borderId="0" xfId="0" applyFont="1"/>
    <xf numFmtId="0" fontId="71" fillId="0" borderId="0" xfId="0" applyFont="1" applyAlignment="1">
      <alignment vertical="center"/>
    </xf>
    <xf numFmtId="0" fontId="67" fillId="0" borderId="0" xfId="0" applyFont="1" applyAlignment="1">
      <alignment vertical="center"/>
    </xf>
    <xf numFmtId="0" fontId="73" fillId="0" borderId="0" xfId="1" applyFont="1" applyAlignment="1">
      <alignment horizontal="center" vertical="center" wrapText="1"/>
    </xf>
    <xf numFmtId="0" fontId="74" fillId="0" borderId="0" xfId="0" applyFont="1"/>
    <xf numFmtId="0" fontId="68" fillId="0" borderId="0" xfId="0" applyFont="1"/>
    <xf numFmtId="0" fontId="68" fillId="0" borderId="0" xfId="0" applyFont="1" applyAlignment="1">
      <alignment horizontal="left"/>
    </xf>
    <xf numFmtId="0" fontId="68" fillId="0" borderId="0" xfId="0" applyFont="1" applyAlignment="1">
      <alignment horizontal="left" vertical="top" wrapText="1"/>
    </xf>
    <xf numFmtId="1" fontId="11" fillId="0" borderId="0" xfId="0" applyNumberFormat="1" applyFont="1" applyAlignment="1">
      <alignment horizontal="center"/>
    </xf>
    <xf numFmtId="49" fontId="11" fillId="0" borderId="55" xfId="0" applyNumberFormat="1" applyFont="1" applyBorder="1" applyAlignment="1" applyProtection="1">
      <alignment horizontal="center"/>
      <protection locked="0"/>
    </xf>
    <xf numFmtId="0" fontId="74" fillId="0" borderId="0" xfId="0" applyFont="1" applyAlignment="1">
      <alignment horizontal="left"/>
    </xf>
    <xf numFmtId="0" fontId="68" fillId="0" borderId="59" xfId="0" applyFont="1" applyBorder="1"/>
    <xf numFmtId="0" fontId="68" fillId="0" borderId="9" xfId="0" applyFont="1" applyBorder="1"/>
    <xf numFmtId="0" fontId="0" fillId="0" borderId="9" xfId="0" applyBorder="1"/>
    <xf numFmtId="0" fontId="0" fillId="0" borderId="59" xfId="0" applyBorder="1"/>
    <xf numFmtId="0" fontId="68" fillId="0" borderId="60" xfId="0" applyFont="1" applyBorder="1"/>
    <xf numFmtId="0" fontId="68" fillId="0" borderId="61" xfId="0" applyFont="1" applyBorder="1"/>
    <xf numFmtId="0" fontId="68" fillId="0" borderId="62" xfId="0" applyFont="1" applyBorder="1"/>
    <xf numFmtId="0" fontId="71" fillId="0" borderId="0" xfId="0" applyFont="1" applyAlignment="1">
      <alignment horizontal="center" vertical="center"/>
    </xf>
    <xf numFmtId="0" fontId="11" fillId="0" borderId="71" xfId="0" applyFont="1" applyBorder="1" applyAlignment="1">
      <alignment horizontal="center"/>
    </xf>
    <xf numFmtId="0" fontId="0" fillId="0" borderId="0" xfId="0" applyAlignment="1">
      <alignment horizontal="right" wrapText="1"/>
    </xf>
    <xf numFmtId="0" fontId="0" fillId="14" borderId="0" xfId="0" quotePrefix="1" applyFill="1"/>
    <xf numFmtId="0" fontId="71" fillId="0" borderId="36" xfId="0" applyFont="1" applyBorder="1" applyAlignment="1">
      <alignment vertical="center"/>
    </xf>
    <xf numFmtId="0" fontId="72" fillId="0" borderId="36" xfId="0" applyFont="1" applyBorder="1"/>
    <xf numFmtId="0" fontId="0" fillId="0" borderId="36" xfId="0" applyBorder="1"/>
    <xf numFmtId="0" fontId="76" fillId="0" borderId="0" xfId="0" applyFont="1"/>
    <xf numFmtId="1" fontId="11" fillId="0" borderId="0" xfId="0" applyNumberFormat="1" applyFont="1"/>
    <xf numFmtId="172" fontId="11" fillId="0" borderId="0" xfId="0" applyNumberFormat="1" applyFont="1"/>
    <xf numFmtId="0" fontId="11" fillId="0" borderId="0" xfId="0" applyFont="1" applyAlignment="1">
      <alignment horizontal="right"/>
    </xf>
    <xf numFmtId="0" fontId="11" fillId="0" borderId="1" xfId="0" applyFont="1" applyBorder="1" applyAlignment="1">
      <alignment horizontal="center"/>
    </xf>
    <xf numFmtId="0" fontId="11" fillId="0" borderId="4" xfId="0" applyFont="1" applyBorder="1" applyAlignment="1">
      <alignment horizontal="right"/>
    </xf>
    <xf numFmtId="0" fontId="11" fillId="0" borderId="11" xfId="0" applyFont="1" applyBorder="1" applyAlignment="1">
      <alignment horizontal="center"/>
    </xf>
    <xf numFmtId="170" fontId="82" fillId="0" borderId="0" xfId="0" applyNumberFormat="1" applyFont="1"/>
    <xf numFmtId="0" fontId="11" fillId="0" borderId="0" xfId="0" applyFont="1" applyProtection="1">
      <protection hidden="1"/>
    </xf>
    <xf numFmtId="0" fontId="53" fillId="0" borderId="0" xfId="0" applyFont="1" applyAlignment="1" applyProtection="1">
      <alignment vertical="center"/>
      <protection hidden="1"/>
    </xf>
    <xf numFmtId="0" fontId="28" fillId="0" borderId="0" xfId="0" applyFont="1" applyAlignment="1" applyProtection="1">
      <alignment horizontal="center" vertical="center"/>
      <protection hidden="1"/>
    </xf>
    <xf numFmtId="0" fontId="11" fillId="0" borderId="13" xfId="0" applyFont="1" applyBorder="1"/>
    <xf numFmtId="0" fontId="11" fillId="0" borderId="10" xfId="0" applyFont="1" applyBorder="1"/>
    <xf numFmtId="0" fontId="11" fillId="0" borderId="3" xfId="0" applyFont="1" applyBorder="1"/>
    <xf numFmtId="0" fontId="11" fillId="0" borderId="12" xfId="0" applyFont="1" applyBorder="1"/>
    <xf numFmtId="0" fontId="45" fillId="21" borderId="0" xfId="0" applyFont="1" applyFill="1" applyAlignment="1">
      <alignment vertical="center" wrapText="1"/>
    </xf>
    <xf numFmtId="0" fontId="81" fillId="21" borderId="0" xfId="0" applyFont="1" applyFill="1" applyAlignment="1">
      <alignment vertical="top" wrapText="1"/>
    </xf>
    <xf numFmtId="0" fontId="13" fillId="21" borderId="0" xfId="0" applyFont="1" applyFill="1" applyAlignment="1">
      <alignment horizontal="left" vertical="top" wrapText="1"/>
    </xf>
    <xf numFmtId="0" fontId="13" fillId="21" borderId="0" xfId="0" applyFont="1" applyFill="1" applyAlignment="1">
      <alignment vertical="top" wrapText="1"/>
    </xf>
    <xf numFmtId="171" fontId="13" fillId="21" borderId="0" xfId="0" applyNumberFormat="1" applyFont="1" applyFill="1" applyAlignment="1">
      <alignment horizontal="left" vertical="top" wrapText="1"/>
    </xf>
    <xf numFmtId="171" fontId="13" fillId="21" borderId="0" xfId="0" applyNumberFormat="1" applyFont="1" applyFill="1" applyAlignment="1">
      <alignment vertical="top" wrapText="1"/>
    </xf>
    <xf numFmtId="0" fontId="11" fillId="0" borderId="0" xfId="0" applyFont="1" applyAlignment="1">
      <alignment horizontal="left" vertical="top"/>
    </xf>
    <xf numFmtId="0" fontId="87" fillId="21" borderId="0" xfId="0" applyFont="1" applyFill="1" applyAlignment="1">
      <alignment vertical="center" wrapText="1"/>
    </xf>
    <xf numFmtId="0" fontId="10" fillId="21" borderId="0" xfId="0" applyFont="1" applyFill="1" applyAlignment="1">
      <alignment vertical="top"/>
    </xf>
    <xf numFmtId="0" fontId="11" fillId="21" borderId="0" xfId="0" applyFont="1" applyFill="1" applyAlignment="1">
      <alignment horizontal="left" vertical="top"/>
    </xf>
    <xf numFmtId="0" fontId="10" fillId="21" borderId="0" xfId="0" applyFont="1" applyFill="1" applyAlignment="1">
      <alignment horizontal="left" vertical="top"/>
    </xf>
    <xf numFmtId="0" fontId="13" fillId="21" borderId="0" xfId="0" applyFont="1" applyFill="1" applyAlignment="1">
      <alignment vertical="top"/>
    </xf>
    <xf numFmtId="171" fontId="11" fillId="21" borderId="0" xfId="0" applyNumberFormat="1" applyFont="1" applyFill="1" applyAlignment="1">
      <alignment horizontal="left" vertical="top"/>
    </xf>
    <xf numFmtId="171" fontId="11" fillId="21" borderId="0" xfId="0" applyNumberFormat="1" applyFont="1" applyFill="1" applyAlignment="1">
      <alignment vertical="top"/>
    </xf>
    <xf numFmtId="0" fontId="11" fillId="21" borderId="0" xfId="0" applyFont="1" applyFill="1" applyAlignment="1">
      <alignment vertical="top"/>
    </xf>
    <xf numFmtId="0" fontId="81" fillId="21" borderId="0" xfId="0" applyFont="1" applyFill="1" applyAlignment="1">
      <alignment vertical="top"/>
    </xf>
    <xf numFmtId="0" fontId="81" fillId="21" borderId="0" xfId="0" applyFont="1" applyFill="1" applyAlignment="1">
      <alignment horizontal="left" vertical="top"/>
    </xf>
    <xf numFmtId="0" fontId="87" fillId="21" borderId="0" xfId="0" applyFont="1" applyFill="1" applyAlignment="1">
      <alignment vertical="top"/>
    </xf>
    <xf numFmtId="0" fontId="89" fillId="21" borderId="0" xfId="2" applyFont="1" applyFill="1" applyAlignment="1" applyProtection="1">
      <alignment vertical="center" wrapText="1"/>
    </xf>
    <xf numFmtId="14" fontId="11" fillId="21" borderId="0" xfId="2" applyNumberFormat="1" applyFont="1" applyFill="1" applyAlignment="1" applyProtection="1">
      <alignment vertical="top"/>
    </xf>
    <xf numFmtId="0" fontId="0" fillId="21" borderId="0" xfId="0" applyFill="1"/>
    <xf numFmtId="0" fontId="11" fillId="21" borderId="0" xfId="0" applyFont="1" applyFill="1" applyAlignment="1">
      <alignment vertical="top" wrapText="1"/>
    </xf>
    <xf numFmtId="0" fontId="54" fillId="21" borderId="0" xfId="0" applyFont="1" applyFill="1" applyAlignment="1">
      <alignment vertical="center"/>
    </xf>
    <xf numFmtId="0" fontId="87" fillId="21" borderId="0" xfId="0" applyFont="1" applyFill="1"/>
    <xf numFmtId="0" fontId="92" fillId="0" borderId="0" xfId="0" applyFont="1" applyAlignment="1">
      <alignment vertical="top" wrapText="1"/>
    </xf>
    <xf numFmtId="0" fontId="11" fillId="0" borderId="14" xfId="0" applyFont="1" applyBorder="1"/>
    <xf numFmtId="0" fontId="11" fillId="0" borderId="11" xfId="0" applyFont="1" applyBorder="1"/>
    <xf numFmtId="0" fontId="11" fillId="0" borderId="5" xfId="0" applyFont="1" applyBorder="1"/>
    <xf numFmtId="0" fontId="11" fillId="21" borderId="0" xfId="0" applyFont="1" applyFill="1" applyAlignment="1">
      <alignment horizontal="left" vertical="top" wrapText="1"/>
    </xf>
    <xf numFmtId="0" fontId="0" fillId="0" borderId="4" xfId="0" applyBorder="1"/>
    <xf numFmtId="0" fontId="54" fillId="0" borderId="0" xfId="0" applyFont="1" applyAlignment="1">
      <alignment vertical="center"/>
    </xf>
    <xf numFmtId="0" fontId="88" fillId="21" borderId="0" xfId="0" applyFont="1" applyFill="1" applyAlignment="1">
      <alignment vertical="center" wrapText="1"/>
    </xf>
    <xf numFmtId="0" fontId="11" fillId="21" borderId="0" xfId="0" applyFont="1" applyFill="1"/>
    <xf numFmtId="0" fontId="13" fillId="21" borderId="0" xfId="0" applyFont="1" applyFill="1"/>
    <xf numFmtId="0" fontId="11" fillId="0" borderId="0" xfId="0" applyFont="1" applyAlignment="1">
      <alignment vertical="top" wrapText="1"/>
    </xf>
    <xf numFmtId="0" fontId="54" fillId="0" borderId="0" xfId="0" applyFont="1" applyAlignment="1">
      <alignment wrapText="1"/>
    </xf>
    <xf numFmtId="0" fontId="11" fillId="21" borderId="0" xfId="4" applyFont="1" applyFill="1" applyProtection="1"/>
    <xf numFmtId="0" fontId="11" fillId="21" borderId="0" xfId="4" applyFont="1" applyFill="1" applyAlignment="1" applyProtection="1">
      <alignment vertical="top" wrapText="1"/>
    </xf>
    <xf numFmtId="0" fontId="93" fillId="0" borderId="11" xfId="2" applyFont="1" applyBorder="1" applyAlignment="1" applyProtection="1">
      <alignment horizontal="left"/>
    </xf>
    <xf numFmtId="0" fontId="94" fillId="0" borderId="11" xfId="2" applyFont="1" applyBorder="1" applyProtection="1"/>
    <xf numFmtId="0" fontId="95" fillId="0" borderId="0" xfId="0" applyFont="1" applyAlignment="1" applyProtection="1">
      <alignment vertical="center"/>
      <protection hidden="1"/>
    </xf>
    <xf numFmtId="0" fontId="11" fillId="0" borderId="81" xfId="0" applyFont="1" applyBorder="1"/>
    <xf numFmtId="0" fontId="11" fillId="0" borderId="82" xfId="0" applyFont="1" applyBorder="1"/>
    <xf numFmtId="0" fontId="11" fillId="0" borderId="81" xfId="0" applyFont="1" applyBorder="1" applyAlignment="1">
      <alignment horizontal="right"/>
    </xf>
    <xf numFmtId="0" fontId="0" fillId="0" borderId="81" xfId="0" applyBorder="1"/>
    <xf numFmtId="0" fontId="11" fillId="0" borderId="83" xfId="0" applyFont="1" applyBorder="1"/>
    <xf numFmtId="0" fontId="11" fillId="0" borderId="85" xfId="0" applyFont="1" applyBorder="1"/>
    <xf numFmtId="0" fontId="0" fillId="0" borderId="82" xfId="0" applyBorder="1"/>
    <xf numFmtId="0" fontId="11" fillId="0" borderId="83" xfId="0" applyFont="1" applyBorder="1" applyAlignment="1">
      <alignment horizontal="right"/>
    </xf>
    <xf numFmtId="0" fontId="0" fillId="0" borderId="92" xfId="0" applyBorder="1"/>
    <xf numFmtId="0" fontId="100" fillId="0" borderId="0" xfId="0" applyFont="1" applyAlignment="1">
      <alignment horizontal="left" vertical="center" wrapText="1" indent="15"/>
    </xf>
    <xf numFmtId="0" fontId="0" fillId="22" borderId="0" xfId="0" applyFill="1" applyAlignment="1">
      <alignment wrapText="1"/>
    </xf>
    <xf numFmtId="0" fontId="0" fillId="22" borderId="0" xfId="0" applyFill="1"/>
    <xf numFmtId="0" fontId="0" fillId="18" borderId="0" xfId="0" applyFill="1" applyAlignment="1">
      <alignment wrapText="1"/>
    </xf>
    <xf numFmtId="0" fontId="0" fillId="23" borderId="0" xfId="0" applyFill="1" applyAlignment="1">
      <alignment wrapText="1"/>
    </xf>
    <xf numFmtId="172" fontId="0" fillId="23" borderId="0" xfId="0" applyNumberFormat="1" applyFill="1" applyAlignment="1">
      <alignment wrapText="1"/>
    </xf>
    <xf numFmtId="3" fontId="0" fillId="18" borderId="0" xfId="0" applyNumberFormat="1" applyFill="1" applyAlignment="1">
      <alignment wrapText="1"/>
    </xf>
    <xf numFmtId="2" fontId="11" fillId="0" borderId="1" xfId="0" applyNumberFormat="1" applyFont="1" applyBorder="1" applyAlignment="1">
      <alignment horizontal="center"/>
    </xf>
    <xf numFmtId="0" fontId="42" fillId="0" borderId="0" xfId="1" applyFont="1" applyBorder="1" applyAlignment="1">
      <alignment horizontal="left"/>
    </xf>
    <xf numFmtId="0" fontId="28" fillId="0" borderId="0" xfId="0" applyFont="1" applyAlignment="1">
      <alignment vertical="center" wrapText="1"/>
    </xf>
    <xf numFmtId="0" fontId="103" fillId="0" borderId="0" xfId="0" applyFont="1" applyAlignment="1">
      <alignment vertical="top" wrapText="1"/>
    </xf>
    <xf numFmtId="0" fontId="50" fillId="0" borderId="0" xfId="0" applyFont="1" applyAlignment="1">
      <alignment vertical="center"/>
    </xf>
    <xf numFmtId="0" fontId="8" fillId="0" borderId="0" xfId="1"/>
    <xf numFmtId="0" fontId="33" fillId="0" borderId="0" xfId="14" applyAlignment="1">
      <alignment horizontal="left"/>
    </xf>
    <xf numFmtId="0" fontId="23" fillId="0" borderId="1" xfId="14" applyFont="1" applyBorder="1" applyAlignment="1">
      <alignment horizontal="center"/>
    </xf>
    <xf numFmtId="0" fontId="23" fillId="0" borderId="1" xfId="14" applyFont="1" applyBorder="1" applyAlignment="1">
      <alignment horizontal="center" wrapText="1"/>
    </xf>
    <xf numFmtId="10" fontId="0" fillId="0" borderId="1" xfId="6" applyNumberFormat="1" applyFont="1" applyBorder="1"/>
    <xf numFmtId="0" fontId="33" fillId="0" borderId="1" xfId="14" applyBorder="1" applyAlignment="1">
      <alignment horizontal="right"/>
    </xf>
    <xf numFmtId="177" fontId="33" fillId="0" borderId="1" xfId="14" applyNumberFormat="1" applyBorder="1"/>
    <xf numFmtId="175" fontId="0" fillId="0" borderId="0" xfId="0" applyNumberFormat="1"/>
    <xf numFmtId="0" fontId="0" fillId="28" borderId="0" xfId="0" applyFill="1"/>
    <xf numFmtId="0" fontId="22" fillId="29" borderId="0" xfId="0" applyFont="1" applyFill="1"/>
    <xf numFmtId="0" fontId="22" fillId="29" borderId="0" xfId="0" quotePrefix="1" applyFont="1" applyFill="1"/>
    <xf numFmtId="184" fontId="0" fillId="0" borderId="0" xfId="6" applyNumberFormat="1" applyFont="1"/>
    <xf numFmtId="0" fontId="74" fillId="4" borderId="0" xfId="0" applyFont="1" applyFill="1"/>
    <xf numFmtId="0" fontId="68" fillId="4" borderId="0" xfId="0" applyFont="1" applyFill="1" applyAlignment="1">
      <alignment horizontal="left"/>
    </xf>
    <xf numFmtId="0" fontId="11" fillId="0" borderId="0" xfId="0" applyFont="1" applyAlignment="1">
      <alignment horizontal="left" vertical="top" wrapText="1"/>
    </xf>
    <xf numFmtId="0" fontId="11" fillId="0" borderId="73" xfId="0" applyFont="1" applyBorder="1"/>
    <xf numFmtId="0" fontId="0" fillId="0" borderId="73" xfId="0" applyBorder="1"/>
    <xf numFmtId="0" fontId="0" fillId="0" borderId="0" xfId="0" applyProtection="1">
      <protection locked="0"/>
    </xf>
    <xf numFmtId="167" fontId="70" fillId="0" borderId="36" xfId="0" applyNumberFormat="1" applyFont="1" applyBorder="1"/>
    <xf numFmtId="0" fontId="76" fillId="0" borderId="36" xfId="0" applyFont="1" applyBorder="1"/>
    <xf numFmtId="2" fontId="0" fillId="18" borderId="0" xfId="0" applyNumberFormat="1" applyFill="1" applyAlignment="1">
      <alignment wrapText="1"/>
    </xf>
    <xf numFmtId="2" fontId="22" fillId="29" borderId="0" xfId="0" applyNumberFormat="1" applyFont="1" applyFill="1"/>
    <xf numFmtId="2" fontId="0" fillId="14" borderId="0" xfId="0" applyNumberFormat="1" applyFill="1"/>
    <xf numFmtId="2" fontId="0" fillId="28" borderId="0" xfId="0" applyNumberFormat="1" applyFill="1"/>
    <xf numFmtId="1" fontId="0" fillId="18" borderId="0" xfId="0" applyNumberFormat="1" applyFill="1" applyAlignment="1">
      <alignment wrapText="1"/>
    </xf>
    <xf numFmtId="1" fontId="22" fillId="29" borderId="0" xfId="0" applyNumberFormat="1" applyFont="1" applyFill="1"/>
    <xf numFmtId="1" fontId="0" fillId="28" borderId="0" xfId="0" applyNumberFormat="1" applyFill="1"/>
    <xf numFmtId="1" fontId="0" fillId="14" borderId="0" xfId="0" applyNumberFormat="1" applyFill="1"/>
    <xf numFmtId="169" fontId="0" fillId="18" borderId="0" xfId="0" applyNumberFormat="1" applyFill="1" applyAlignment="1">
      <alignment wrapText="1"/>
    </xf>
    <xf numFmtId="169" fontId="22" fillId="29" borderId="0" xfId="0" applyNumberFormat="1" applyFont="1" applyFill="1"/>
    <xf numFmtId="169" fontId="0" fillId="14" borderId="0" xfId="0" applyNumberFormat="1" applyFill="1"/>
    <xf numFmtId="172" fontId="0" fillId="18" borderId="0" xfId="0" applyNumberFormat="1" applyFill="1" applyAlignment="1">
      <alignment wrapText="1"/>
    </xf>
    <xf numFmtId="172" fontId="22" fillId="29" borderId="0" xfId="0" applyNumberFormat="1" applyFont="1" applyFill="1"/>
    <xf numFmtId="172" fontId="0" fillId="14" borderId="0" xfId="0" applyNumberFormat="1" applyFill="1"/>
    <xf numFmtId="169" fontId="0" fillId="28" borderId="0" xfId="0" applyNumberFormat="1" applyFill="1"/>
    <xf numFmtId="172" fontId="0" fillId="28" borderId="0" xfId="0" applyNumberFormat="1" applyFill="1"/>
    <xf numFmtId="49" fontId="57" fillId="0" borderId="0" xfId="0" applyNumberFormat="1" applyFont="1" applyAlignment="1">
      <alignment horizontal="right" vertical="center"/>
    </xf>
    <xf numFmtId="0" fontId="68" fillId="0" borderId="0" xfId="0" applyFont="1" applyAlignment="1">
      <alignment vertical="top" wrapText="1"/>
    </xf>
    <xf numFmtId="0" fontId="114" fillId="0" borderId="0" xfId="0" applyFont="1"/>
    <xf numFmtId="0" fontId="0" fillId="0" borderId="0" xfId="0" applyAlignment="1">
      <alignment shrinkToFit="1"/>
    </xf>
    <xf numFmtId="0" fontId="11" fillId="0" borderId="0" xfId="0" applyFont="1" applyAlignment="1">
      <alignment shrinkToFit="1"/>
    </xf>
    <xf numFmtId="0" fontId="8" fillId="29" borderId="0" xfId="1" applyNumberFormat="1" applyFill="1"/>
    <xf numFmtId="0" fontId="8" fillId="14" borderId="0" xfId="1" applyNumberFormat="1" applyFill="1"/>
    <xf numFmtId="0" fontId="0" fillId="0" borderId="108" xfId="0" applyBorder="1"/>
    <xf numFmtId="49" fontId="0" fillId="0" borderId="108" xfId="0" applyNumberFormat="1" applyBorder="1"/>
    <xf numFmtId="14" fontId="0" fillId="0" borderId="0" xfId="0" applyNumberFormat="1"/>
    <xf numFmtId="0" fontId="0" fillId="0" borderId="111" xfId="0" applyBorder="1"/>
    <xf numFmtId="0" fontId="0" fillId="30" borderId="0" xfId="0" applyFill="1"/>
    <xf numFmtId="0" fontId="26" fillId="30" borderId="0" xfId="0" applyFont="1" applyFill="1"/>
    <xf numFmtId="0" fontId="31" fillId="30" borderId="0" xfId="0" applyFont="1" applyFill="1" applyAlignment="1">
      <alignment horizontal="right" vertical="top"/>
    </xf>
    <xf numFmtId="0" fontId="26" fillId="30" borderId="0" xfId="0" applyFont="1" applyFill="1" applyAlignment="1">
      <alignment wrapText="1"/>
    </xf>
    <xf numFmtId="0" fontId="26" fillId="30" borderId="0" xfId="0" applyFont="1" applyFill="1" applyAlignment="1">
      <alignment horizontal="center"/>
    </xf>
    <xf numFmtId="0" fontId="114" fillId="30" borderId="0" xfId="0" applyFont="1" applyFill="1" applyAlignment="1">
      <alignment horizontal="right"/>
    </xf>
    <xf numFmtId="0" fontId="56" fillId="31" borderId="26" xfId="0" applyFont="1" applyFill="1" applyBorder="1" applyAlignment="1">
      <alignment vertical="center"/>
    </xf>
    <xf numFmtId="0" fontId="40" fillId="31" borderId="27" xfId="0" applyFont="1" applyFill="1" applyBorder="1" applyAlignment="1">
      <alignment vertical="center"/>
    </xf>
    <xf numFmtId="0" fontId="41" fillId="31" borderId="27" xfId="0" applyFont="1" applyFill="1" applyBorder="1" applyAlignment="1">
      <alignment vertical="center"/>
    </xf>
    <xf numFmtId="0" fontId="41" fillId="31" borderId="28" xfId="0" applyFont="1" applyFill="1" applyBorder="1" applyAlignment="1">
      <alignment vertical="center"/>
    </xf>
    <xf numFmtId="0" fontId="56" fillId="31" borderId="29" xfId="0" applyFont="1" applyFill="1" applyBorder="1" applyAlignment="1">
      <alignment vertical="center"/>
    </xf>
    <xf numFmtId="0" fontId="41" fillId="31" borderId="30" xfId="0" applyFont="1" applyFill="1" applyBorder="1" applyAlignment="1">
      <alignment vertical="center"/>
    </xf>
    <xf numFmtId="0" fontId="56" fillId="31" borderId="31" xfId="0" applyFont="1" applyFill="1" applyBorder="1" applyAlignment="1">
      <alignment vertical="center"/>
    </xf>
    <xf numFmtId="0" fontId="40" fillId="31" borderId="32" xfId="0" applyFont="1" applyFill="1" applyBorder="1" applyAlignment="1">
      <alignment vertical="center"/>
    </xf>
    <xf numFmtId="0" fontId="41" fillId="31" borderId="32" xfId="0" applyFont="1" applyFill="1" applyBorder="1" applyAlignment="1">
      <alignment vertical="center"/>
    </xf>
    <xf numFmtId="0" fontId="41" fillId="31" borderId="33" xfId="0" applyFont="1" applyFill="1" applyBorder="1" applyAlignment="1">
      <alignment vertical="center"/>
    </xf>
    <xf numFmtId="0" fontId="14" fillId="32" borderId="21" xfId="0" applyFont="1" applyFill="1" applyBorder="1"/>
    <xf numFmtId="0" fontId="14" fillId="32" borderId="22" xfId="0" applyFont="1" applyFill="1" applyBorder="1"/>
    <xf numFmtId="0" fontId="26" fillId="30" borderId="0" xfId="0" applyFont="1" applyFill="1" applyAlignment="1">
      <alignment horizontal="right" vertical="top"/>
    </xf>
    <xf numFmtId="0" fontId="26" fillId="30" borderId="0" xfId="0" applyFont="1" applyFill="1" applyAlignment="1">
      <alignment horizontal="right"/>
    </xf>
    <xf numFmtId="0" fontId="113" fillId="30" borderId="0" xfId="0" applyFont="1" applyFill="1" applyAlignment="1">
      <alignment horizontal="right"/>
    </xf>
    <xf numFmtId="0" fontId="11" fillId="30" borderId="0" xfId="0" applyFont="1" applyFill="1"/>
    <xf numFmtId="0" fontId="85" fillId="30" borderId="0" xfId="0" applyFont="1" applyFill="1" applyAlignment="1">
      <alignment vertical="center"/>
    </xf>
    <xf numFmtId="0" fontId="11" fillId="34" borderId="13" xfId="0" applyFont="1" applyFill="1" applyBorder="1" applyProtection="1">
      <protection hidden="1"/>
    </xf>
    <xf numFmtId="0" fontId="8" fillId="0" borderId="0" xfId="1" applyBorder="1" applyAlignment="1">
      <alignment horizontal="left"/>
    </xf>
    <xf numFmtId="0" fontId="0" fillId="0" borderId="61" xfId="0" applyBorder="1"/>
    <xf numFmtId="0" fontId="99" fillId="0" borderId="0" xfId="0" applyFont="1" applyAlignment="1">
      <alignment vertical="top" wrapText="1"/>
    </xf>
    <xf numFmtId="0" fontId="13" fillId="21" borderId="0" xfId="0" applyFont="1" applyFill="1" applyAlignment="1">
      <alignment wrapText="1"/>
    </xf>
    <xf numFmtId="0" fontId="11" fillId="21" borderId="0" xfId="4" applyFont="1" applyFill="1" applyAlignment="1" applyProtection="1">
      <alignment vertical="center" wrapText="1"/>
    </xf>
    <xf numFmtId="0" fontId="11" fillId="21" borderId="0" xfId="4" applyFont="1" applyFill="1" applyAlignment="1" applyProtection="1">
      <alignment vertical="center"/>
    </xf>
    <xf numFmtId="0" fontId="11" fillId="21" borderId="0" xfId="0" applyFont="1" applyFill="1" applyAlignment="1">
      <alignment horizontal="right" vertical="top" wrapText="1"/>
    </xf>
    <xf numFmtId="0" fontId="0" fillId="21" borderId="0" xfId="0" applyFill="1" applyAlignment="1">
      <alignment horizontal="right"/>
    </xf>
    <xf numFmtId="0" fontId="22" fillId="0" borderId="0" xfId="0" applyFont="1" applyAlignment="1">
      <alignment horizontal="left"/>
    </xf>
    <xf numFmtId="0" fontId="22" fillId="0" borderId="0" xfId="0" quotePrefix="1" applyFont="1"/>
    <xf numFmtId="167" fontId="22" fillId="0" borderId="0" xfId="13" applyNumberFormat="1" applyFont="1" applyFill="1" applyBorder="1" applyAlignment="1">
      <alignment horizontal="right"/>
    </xf>
    <xf numFmtId="173" fontId="22" fillId="0" borderId="0" xfId="13" applyNumberFormat="1" applyFont="1" applyFill="1" applyBorder="1" applyAlignment="1">
      <alignment horizontal="right"/>
    </xf>
    <xf numFmtId="0" fontId="22" fillId="0" borderId="0" xfId="0" applyFont="1" applyAlignment="1">
      <alignment horizontal="center"/>
    </xf>
    <xf numFmtId="14" fontId="22" fillId="0" borderId="0" xfId="0" applyNumberFormat="1" applyFont="1" applyAlignment="1">
      <alignment horizontal="center"/>
    </xf>
    <xf numFmtId="0" fontId="78" fillId="0" borderId="0" xfId="0" applyFont="1" applyAlignment="1">
      <alignment horizontal="center" vertical="center"/>
    </xf>
    <xf numFmtId="167" fontId="78" fillId="0" borderId="0" xfId="0" applyNumberFormat="1" applyFont="1" applyAlignment="1">
      <alignment horizontal="center" vertical="center"/>
    </xf>
    <xf numFmtId="167" fontId="22" fillId="0" borderId="0" xfId="0" applyNumberFormat="1" applyFont="1"/>
    <xf numFmtId="3" fontId="22" fillId="0" borderId="0" xfId="13" applyNumberFormat="1" applyFont="1" applyFill="1" applyBorder="1" applyAlignment="1">
      <alignment horizontal="center"/>
    </xf>
    <xf numFmtId="0" fontId="22" fillId="0" borderId="0" xfId="0" applyFont="1" applyAlignment="1">
      <alignment horizontal="left" wrapText="1"/>
    </xf>
    <xf numFmtId="167" fontId="22" fillId="0" borderId="0" xfId="0" applyNumberFormat="1" applyFont="1" applyAlignment="1">
      <alignment horizontal="right"/>
    </xf>
    <xf numFmtId="0" fontId="57" fillId="0" borderId="0" xfId="0" applyFont="1"/>
    <xf numFmtId="0" fontId="0" fillId="0" borderId="0" xfId="0" applyAlignment="1">
      <alignment horizontal="center"/>
    </xf>
    <xf numFmtId="167" fontId="57" fillId="0" borderId="0" xfId="0" applyNumberFormat="1" applyFont="1" applyAlignment="1">
      <alignment horizontal="right" vertical="center"/>
    </xf>
    <xf numFmtId="167" fontId="20" fillId="0" borderId="0" xfId="0" applyNumberFormat="1" applyFont="1" applyAlignment="1">
      <alignment horizontal="right" vertical="center"/>
    </xf>
    <xf numFmtId="1" fontId="22" fillId="0" borderId="0" xfId="0" applyNumberFormat="1" applyFont="1" applyAlignment="1">
      <alignment horizontal="left"/>
    </xf>
    <xf numFmtId="0" fontId="78" fillId="0" borderId="8" xfId="0" applyFont="1" applyBorder="1" applyAlignment="1">
      <alignment horizontal="center" vertical="center"/>
    </xf>
    <xf numFmtId="0" fontId="68" fillId="0" borderId="0" xfId="0" applyFont="1" applyAlignment="1">
      <alignment horizontal="center" vertical="top" wrapText="1"/>
    </xf>
    <xf numFmtId="0" fontId="130" fillId="0" borderId="0" xfId="0" applyFont="1" applyAlignment="1">
      <alignment vertical="top" wrapText="1"/>
    </xf>
    <xf numFmtId="0" fontId="130" fillId="0" borderId="0" xfId="0" applyFont="1" applyAlignment="1">
      <alignment wrapText="1"/>
    </xf>
    <xf numFmtId="0" fontId="0" fillId="0" borderId="84" xfId="0" applyBorder="1"/>
    <xf numFmtId="0" fontId="115" fillId="0" borderId="0" xfId="0" applyFont="1" applyAlignment="1">
      <alignment vertical="center" wrapText="1"/>
    </xf>
    <xf numFmtId="0" fontId="129" fillId="0" borderId="0" xfId="0" applyFont="1"/>
    <xf numFmtId="0" fontId="68" fillId="0" borderId="151" xfId="0" applyFont="1" applyBorder="1"/>
    <xf numFmtId="172" fontId="11" fillId="0" borderId="0" xfId="0" applyNumberFormat="1" applyFont="1" applyAlignment="1">
      <alignment shrinkToFit="1"/>
    </xf>
    <xf numFmtId="0" fontId="121" fillId="0" borderId="0" xfId="0" applyFont="1" applyAlignment="1">
      <alignment vertical="center"/>
    </xf>
    <xf numFmtId="0" fontId="0" fillId="0" borderId="43" xfId="0" applyBorder="1"/>
    <xf numFmtId="0" fontId="0" fillId="0" borderId="138" xfId="0" applyBorder="1"/>
    <xf numFmtId="0" fontId="0" fillId="4" borderId="43" xfId="0" applyFill="1" applyBorder="1"/>
    <xf numFmtId="0" fontId="0" fillId="4" borderId="138" xfId="0" applyFill="1" applyBorder="1"/>
    <xf numFmtId="0" fontId="0" fillId="0" borderId="153" xfId="0" applyBorder="1"/>
    <xf numFmtId="0" fontId="0" fillId="0" borderId="151" xfId="0" applyBorder="1"/>
    <xf numFmtId="0" fontId="0" fillId="0" borderId="154" xfId="0" applyBorder="1"/>
    <xf numFmtId="0" fontId="11" fillId="0" borderId="151" xfId="0" applyFont="1" applyBorder="1"/>
    <xf numFmtId="0" fontId="40" fillId="31" borderId="0" xfId="0" applyFont="1" applyFill="1" applyAlignment="1">
      <alignment vertical="center"/>
    </xf>
    <xf numFmtId="0" fontId="41" fillId="31" borderId="0" xfId="0" applyFont="1" applyFill="1" applyAlignment="1">
      <alignment vertical="center"/>
    </xf>
    <xf numFmtId="180" fontId="48" fillId="0" borderId="0" xfId="0" applyNumberFormat="1" applyFont="1" applyAlignment="1">
      <alignment vertical="center" wrapText="1"/>
    </xf>
    <xf numFmtId="0" fontId="48" fillId="0" borderId="0" xfId="0" applyFont="1" applyAlignment="1">
      <alignment vertical="center" wrapText="1"/>
    </xf>
    <xf numFmtId="0" fontId="48" fillId="0" borderId="0" xfId="0" applyFont="1" applyAlignment="1">
      <alignment vertical="center"/>
    </xf>
    <xf numFmtId="0" fontId="10" fillId="0" borderId="0" xfId="0" applyFont="1" applyAlignment="1" applyProtection="1">
      <alignment vertical="center" wrapText="1"/>
      <protection hidden="1"/>
    </xf>
    <xf numFmtId="0" fontId="11" fillId="34" borderId="10" xfId="0" applyFont="1" applyFill="1" applyBorder="1" applyProtection="1">
      <protection hidden="1"/>
    </xf>
    <xf numFmtId="0" fontId="11" fillId="34" borderId="3" xfId="0" applyFont="1" applyFill="1" applyBorder="1" applyProtection="1">
      <protection hidden="1"/>
    </xf>
    <xf numFmtId="0" fontId="11" fillId="34" borderId="12" xfId="0" applyFont="1" applyFill="1" applyBorder="1"/>
    <xf numFmtId="0" fontId="0" fillId="34" borderId="4" xfId="0" applyFill="1" applyBorder="1"/>
    <xf numFmtId="0" fontId="10" fillId="34" borderId="0" xfId="0" applyFont="1" applyFill="1" applyAlignment="1">
      <alignment horizontal="center"/>
    </xf>
    <xf numFmtId="0" fontId="10" fillId="34" borderId="0" xfId="0" applyFont="1" applyFill="1"/>
    <xf numFmtId="0" fontId="11" fillId="34" borderId="11" xfId="0" applyFont="1" applyFill="1" applyBorder="1"/>
    <xf numFmtId="0" fontId="11" fillId="34" borderId="4" xfId="0" applyFont="1" applyFill="1" applyBorder="1"/>
    <xf numFmtId="0" fontId="11" fillId="34" borderId="0" xfId="0" applyFont="1" applyFill="1"/>
    <xf numFmtId="0" fontId="11" fillId="34" borderId="14" xfId="0" applyFont="1" applyFill="1" applyBorder="1"/>
    <xf numFmtId="182" fontId="11" fillId="34" borderId="11" xfId="15" applyNumberFormat="1" applyFont="1" applyFill="1" applyBorder="1"/>
    <xf numFmtId="0" fontId="11" fillId="34" borderId="5" xfId="0" applyFont="1" applyFill="1" applyBorder="1"/>
    <xf numFmtId="0" fontId="125" fillId="0" borderId="0" xfId="0" applyFont="1" applyAlignment="1">
      <alignment vertical="center"/>
    </xf>
    <xf numFmtId="0" fontId="0" fillId="0" borderId="40" xfId="0" applyBorder="1"/>
    <xf numFmtId="0" fontId="0" fillId="0" borderId="41" xfId="0" applyBorder="1"/>
    <xf numFmtId="0" fontId="0" fillId="0" borderId="152" xfId="0" applyBorder="1"/>
    <xf numFmtId="0" fontId="11" fillId="0" borderId="43" xfId="0" applyFont="1" applyBorder="1"/>
    <xf numFmtId="0" fontId="11" fillId="0" borderId="138" xfId="0" applyFont="1" applyBorder="1"/>
    <xf numFmtId="0" fontId="14" fillId="0" borderId="138" xfId="0" applyFont="1" applyBorder="1" applyAlignment="1">
      <alignment vertical="center"/>
    </xf>
    <xf numFmtId="0" fontId="51" fillId="4" borderId="0" xfId="0" applyFont="1" applyFill="1"/>
    <xf numFmtId="0" fontId="137" fillId="0" borderId="151" xfId="0" applyFont="1" applyBorder="1" applyAlignment="1">
      <alignment vertical="center"/>
    </xf>
    <xf numFmtId="0" fontId="137" fillId="0" borderId="151" xfId="0" applyFont="1" applyBorder="1" applyAlignment="1">
      <alignment horizontal="left" vertical="center"/>
    </xf>
    <xf numFmtId="0" fontId="11" fillId="34" borderId="0" xfId="0" applyFont="1" applyFill="1" applyAlignment="1">
      <alignment horizontal="right"/>
    </xf>
    <xf numFmtId="1" fontId="11" fillId="0" borderId="2" xfId="0" applyNumberFormat="1" applyFont="1" applyBorder="1" applyAlignment="1" applyProtection="1">
      <alignment horizontal="center"/>
      <protection locked="0"/>
    </xf>
    <xf numFmtId="1" fontId="11" fillId="0" borderId="2" xfId="0" applyNumberFormat="1" applyFont="1" applyBorder="1" applyAlignment="1" applyProtection="1">
      <alignment horizontal="center" vertical="top"/>
      <protection locked="0"/>
    </xf>
    <xf numFmtId="0" fontId="66" fillId="0" borderId="0" xfId="0" applyFont="1" applyAlignment="1">
      <alignment vertical="top" wrapText="1"/>
    </xf>
    <xf numFmtId="0" fontId="68" fillId="4" borderId="0" xfId="0" applyFont="1" applyFill="1"/>
    <xf numFmtId="0" fontId="68" fillId="4" borderId="0" xfId="0" applyFont="1" applyFill="1" applyAlignment="1">
      <alignment wrapText="1"/>
    </xf>
    <xf numFmtId="0" fontId="140" fillId="0" borderId="0" xfId="0" applyFont="1"/>
    <xf numFmtId="0" fontId="125" fillId="0" borderId="34" xfId="0" applyFont="1" applyBorder="1" applyAlignment="1">
      <alignment vertical="center"/>
    </xf>
    <xf numFmtId="0" fontId="139" fillId="0" borderId="34" xfId="0" applyFont="1" applyBorder="1" applyAlignment="1">
      <alignment vertical="center"/>
    </xf>
    <xf numFmtId="0" fontId="11" fillId="0" borderId="34" xfId="0" applyFont="1" applyBorder="1"/>
    <xf numFmtId="0" fontId="139" fillId="0" borderId="34" xfId="0" applyFont="1" applyBorder="1"/>
    <xf numFmtId="0" fontId="11" fillId="34" borderId="12" xfId="0" applyFont="1" applyFill="1" applyBorder="1" applyProtection="1">
      <protection hidden="1"/>
    </xf>
    <xf numFmtId="0" fontId="11" fillId="34" borderId="4" xfId="0" applyFont="1" applyFill="1" applyBorder="1" applyProtection="1">
      <protection hidden="1"/>
    </xf>
    <xf numFmtId="3" fontId="11" fillId="0" borderId="1" xfId="15" applyNumberFormat="1" applyFont="1" applyFill="1" applyBorder="1" applyAlignment="1">
      <alignment horizontal="center"/>
    </xf>
    <xf numFmtId="3" fontId="10" fillId="11" borderId="1" xfId="15" applyNumberFormat="1" applyFont="1" applyFill="1" applyBorder="1" applyAlignment="1">
      <alignment horizontal="center"/>
    </xf>
    <xf numFmtId="167" fontId="0" fillId="0" borderId="0" xfId="0" applyNumberFormat="1" applyAlignment="1">
      <alignment horizontal="left"/>
    </xf>
    <xf numFmtId="9" fontId="0" fillId="0" borderId="0" xfId="6" applyFont="1" applyAlignment="1">
      <alignment horizontal="left"/>
    </xf>
    <xf numFmtId="1" fontId="22" fillId="0" borderId="0" xfId="13" applyNumberFormat="1" applyFont="1" applyFill="1" applyBorder="1" applyAlignment="1">
      <alignment horizontal="center"/>
    </xf>
    <xf numFmtId="0" fontId="0" fillId="0" borderId="108" xfId="0" applyBorder="1" applyAlignment="1">
      <alignment wrapText="1"/>
    </xf>
    <xf numFmtId="49" fontId="0" fillId="0" borderId="111" xfId="0" applyNumberFormat="1" applyBorder="1"/>
    <xf numFmtId="0" fontId="0" fillId="0" borderId="111" xfId="0" applyBorder="1" applyAlignment="1">
      <alignment wrapText="1"/>
    </xf>
    <xf numFmtId="0" fontId="13" fillId="12" borderId="16" xfId="0" applyFont="1" applyFill="1" applyBorder="1" applyAlignment="1">
      <alignment horizontal="center"/>
    </xf>
    <xf numFmtId="0" fontId="10" fillId="6" borderId="16" xfId="0" applyFont="1" applyFill="1" applyBorder="1" applyAlignment="1">
      <alignment horizontal="center"/>
    </xf>
    <xf numFmtId="0" fontId="10" fillId="6" borderId="16" xfId="0" applyFont="1" applyFill="1" applyBorder="1"/>
    <xf numFmtId="9" fontId="0" fillId="0" borderId="0" xfId="0" applyNumberFormat="1" applyAlignment="1">
      <alignment horizontal="left"/>
    </xf>
    <xf numFmtId="179" fontId="0" fillId="0" borderId="0" xfId="0" applyNumberFormat="1" applyAlignment="1">
      <alignment horizontal="left"/>
    </xf>
    <xf numFmtId="167" fontId="0" fillId="0" borderId="0" xfId="13" applyNumberFormat="1" applyFont="1" applyAlignment="1">
      <alignment horizontal="left"/>
    </xf>
    <xf numFmtId="3" fontId="0" fillId="0" borderId="0" xfId="0" applyNumberFormat="1" applyAlignment="1">
      <alignment horizontal="left"/>
    </xf>
    <xf numFmtId="0" fontId="68" fillId="0" borderId="0" xfId="0" applyFont="1" applyAlignment="1">
      <alignment horizontal="right"/>
    </xf>
    <xf numFmtId="0" fontId="68" fillId="0" borderId="0" xfId="0" applyFont="1" applyAlignment="1">
      <alignment horizontal="center"/>
    </xf>
    <xf numFmtId="0" fontId="13" fillId="21" borderId="0" xfId="0" applyFont="1" applyFill="1" applyAlignment="1">
      <alignment horizontal="left" vertical="top"/>
    </xf>
    <xf numFmtId="0" fontId="88" fillId="21" borderId="0" xfId="0" applyFont="1" applyFill="1" applyAlignment="1">
      <alignment horizontal="left" vertical="top" wrapText="1"/>
    </xf>
    <xf numFmtId="0" fontId="68" fillId="0" borderId="0" xfId="0" applyFont="1" applyAlignment="1" applyProtection="1">
      <alignment horizontal="center"/>
      <protection locked="0"/>
    </xf>
    <xf numFmtId="0" fontId="73" fillId="0" borderId="0" xfId="1" applyFont="1" applyBorder="1" applyAlignment="1">
      <alignment horizontal="center" vertical="center" wrapText="1"/>
    </xf>
    <xf numFmtId="0" fontId="0" fillId="5" borderId="59" xfId="0" applyFill="1" applyBorder="1"/>
    <xf numFmtId="0" fontId="0" fillId="5" borderId="0" xfId="0" applyFill="1"/>
    <xf numFmtId="0" fontId="0" fillId="5" borderId="9" xfId="0" applyFill="1" applyBorder="1"/>
    <xf numFmtId="0" fontId="74" fillId="0" borderId="0" xfId="0" applyFont="1" applyAlignment="1">
      <alignment horizontal="center" vertical="top"/>
    </xf>
    <xf numFmtId="0" fontId="74" fillId="0" borderId="0" xfId="0" applyFont="1" applyAlignment="1">
      <alignment horizontal="center"/>
    </xf>
    <xf numFmtId="0" fontId="66" fillId="4" borderId="0" xfId="0" applyFont="1" applyFill="1"/>
    <xf numFmtId="0" fontId="143" fillId="0" borderId="0" xfId="0" applyFont="1" applyAlignment="1">
      <alignment horizontal="right"/>
    </xf>
    <xf numFmtId="0" fontId="143" fillId="0" borderId="0" xfId="0" applyFont="1"/>
    <xf numFmtId="0" fontId="131" fillId="0" borderId="0" xfId="0" applyFont="1"/>
    <xf numFmtId="0" fontId="144" fillId="0" borderId="0" xfId="0" applyFont="1"/>
    <xf numFmtId="0" fontId="66" fillId="0" borderId="0" xfId="0" applyFont="1"/>
    <xf numFmtId="0" fontId="145" fillId="0" borderId="0" xfId="0" applyFont="1"/>
    <xf numFmtId="0" fontId="66" fillId="0" borderId="151" xfId="0" applyFont="1" applyBorder="1" applyAlignment="1">
      <alignment horizontal="right"/>
    </xf>
    <xf numFmtId="0" fontId="146" fillId="0" borderId="0" xfId="0" applyFont="1"/>
    <xf numFmtId="0" fontId="66" fillId="4" borderId="0" xfId="0" applyFont="1" applyFill="1" applyAlignment="1">
      <alignment horizontal="left"/>
    </xf>
    <xf numFmtId="14" fontId="68" fillId="0" borderId="59" xfId="0" applyNumberFormat="1" applyFont="1" applyBorder="1"/>
    <xf numFmtId="0" fontId="149" fillId="0" borderId="0" xfId="0" applyFont="1"/>
    <xf numFmtId="0" fontId="88" fillId="21" borderId="0" xfId="0" applyFont="1" applyFill="1" applyAlignment="1">
      <alignment vertical="top" wrapText="1"/>
    </xf>
    <xf numFmtId="0" fontId="13" fillId="21" borderId="0" xfId="0" applyFont="1" applyFill="1" applyAlignment="1">
      <alignment vertical="center"/>
    </xf>
    <xf numFmtId="0" fontId="88" fillId="21" borderId="0" xfId="0" applyFont="1" applyFill="1" applyAlignment="1">
      <alignment vertical="center"/>
    </xf>
    <xf numFmtId="0" fontId="147" fillId="4" borderId="0" xfId="0" applyFont="1" applyFill="1" applyAlignment="1">
      <alignment horizontal="left"/>
    </xf>
    <xf numFmtId="0" fontId="68" fillId="4" borderId="0" xfId="0" applyFont="1" applyFill="1" applyAlignment="1">
      <alignment horizontal="left" vertical="top"/>
    </xf>
    <xf numFmtId="0" fontId="68" fillId="0" borderId="0" xfId="0" applyFont="1" applyAlignment="1">
      <alignment horizontal="left" shrinkToFit="1"/>
    </xf>
    <xf numFmtId="0" fontId="68" fillId="4" borderId="57" xfId="0" applyFont="1" applyFill="1" applyBorder="1" applyAlignment="1">
      <alignment horizontal="left" vertical="top" shrinkToFit="1"/>
    </xf>
    <xf numFmtId="0" fontId="8" fillId="8" borderId="0" xfId="1" applyFill="1"/>
    <xf numFmtId="0" fontId="0" fillId="8" borderId="0" xfId="0" applyFill="1"/>
    <xf numFmtId="0" fontId="0" fillId="69" borderId="0" xfId="0" applyFill="1"/>
    <xf numFmtId="0" fontId="8" fillId="69" borderId="0" xfId="1" applyFill="1"/>
    <xf numFmtId="1" fontId="0" fillId="9" borderId="0" xfId="0" applyNumberFormat="1" applyFill="1"/>
    <xf numFmtId="2" fontId="0" fillId="9" borderId="0" xfId="0" applyNumberFormat="1" applyFill="1"/>
    <xf numFmtId="169" fontId="0" fillId="9" borderId="0" xfId="0" applyNumberFormat="1" applyFill="1"/>
    <xf numFmtId="172" fontId="0" fillId="9" borderId="0" xfId="0" applyNumberFormat="1" applyFill="1"/>
    <xf numFmtId="0" fontId="0" fillId="9" borderId="0" xfId="0" quotePrefix="1" applyFill="1"/>
    <xf numFmtId="0" fontId="8" fillId="9" borderId="0" xfId="1" applyNumberFormat="1" applyFill="1"/>
    <xf numFmtId="0" fontId="0" fillId="70" borderId="0" xfId="0" applyFill="1" applyAlignment="1">
      <alignment wrapText="1"/>
    </xf>
    <xf numFmtId="0" fontId="170" fillId="0" borderId="192" xfId="66" applyFont="1">
      <alignment wrapText="1"/>
    </xf>
    <xf numFmtId="14" fontId="0" fillId="0" borderId="0" xfId="0" applyNumberFormat="1" applyProtection="1">
      <protection locked="0"/>
    </xf>
    <xf numFmtId="171" fontId="68" fillId="0" borderId="0" xfId="0" applyNumberFormat="1" applyFont="1" applyAlignment="1">
      <alignment horizontal="left"/>
    </xf>
    <xf numFmtId="0" fontId="8" fillId="0" borderId="0" xfId="1" applyBorder="1" applyAlignment="1" applyProtection="1">
      <alignment horizontal="left"/>
    </xf>
    <xf numFmtId="0" fontId="68" fillId="0" borderId="155" xfId="0" applyFont="1" applyBorder="1" applyAlignment="1">
      <alignment vertical="top" wrapText="1"/>
    </xf>
    <xf numFmtId="0" fontId="68" fillId="0" borderId="0" xfId="0" applyFont="1" applyAlignment="1">
      <alignment horizontal="left" indent="1"/>
    </xf>
    <xf numFmtId="190" fontId="0" fillId="0" borderId="0" xfId="0" applyNumberFormat="1"/>
    <xf numFmtId="0" fontId="11" fillId="0" borderId="10" xfId="0" applyFont="1" applyBorder="1" applyAlignment="1">
      <alignment horizontal="left"/>
    </xf>
    <xf numFmtId="0" fontId="0" fillId="3" borderId="1" xfId="0" applyFill="1" applyBorder="1" applyAlignment="1" applyProtection="1">
      <alignment horizontal="center"/>
      <protection locked="0"/>
    </xf>
    <xf numFmtId="0" fontId="66" fillId="34" borderId="0" xfId="0" applyFont="1" applyFill="1" applyProtection="1">
      <protection hidden="1"/>
    </xf>
    <xf numFmtId="1" fontId="68" fillId="0" borderId="2" xfId="0" applyNumberFormat="1" applyFont="1" applyBorder="1" applyAlignment="1" applyProtection="1">
      <alignment horizontal="center"/>
      <protection locked="0"/>
    </xf>
    <xf numFmtId="1" fontId="68" fillId="5" borderId="1" xfId="0" applyNumberFormat="1" applyFont="1" applyFill="1" applyBorder="1" applyAlignment="1">
      <alignment horizontal="center"/>
    </xf>
    <xf numFmtId="0" fontId="68" fillId="34" borderId="0" xfId="0" applyFont="1" applyFill="1"/>
    <xf numFmtId="0" fontId="68" fillId="34" borderId="0" xfId="0" applyFont="1" applyFill="1" applyAlignment="1">
      <alignment horizontal="right"/>
    </xf>
    <xf numFmtId="0" fontId="18" fillId="0" borderId="1" xfId="0" applyFont="1" applyBorder="1" applyAlignment="1">
      <alignment horizontal="left" vertical="top" wrapText="1"/>
    </xf>
    <xf numFmtId="0" fontId="18" fillId="0" borderId="1" xfId="0" applyFont="1" applyBorder="1" applyAlignment="1">
      <alignment horizontal="left" wrapText="1"/>
    </xf>
    <xf numFmtId="0" fontId="173" fillId="0" borderId="0" xfId="0" applyFont="1" applyAlignment="1">
      <alignment horizontal="left"/>
    </xf>
    <xf numFmtId="0" fontId="173" fillId="0" borderId="0" xfId="0" quotePrefix="1" applyFont="1"/>
    <xf numFmtId="173" fontId="173" fillId="0" borderId="0" xfId="13" applyNumberFormat="1" applyFont="1" applyFill="1" applyBorder="1" applyAlignment="1">
      <alignment horizontal="right"/>
    </xf>
    <xf numFmtId="0" fontId="173" fillId="0" borderId="0" xfId="0" applyFont="1" applyAlignment="1">
      <alignment horizontal="center"/>
    </xf>
    <xf numFmtId="1" fontId="173" fillId="0" borderId="0" xfId="0" applyNumberFormat="1" applyFont="1" applyAlignment="1">
      <alignment horizontal="left"/>
    </xf>
    <xf numFmtId="14" fontId="173" fillId="0" borderId="0" xfId="0" applyNumberFormat="1" applyFont="1" applyAlignment="1">
      <alignment horizontal="center"/>
    </xf>
    <xf numFmtId="167" fontId="173" fillId="0" borderId="0" xfId="0" applyNumberFormat="1" applyFont="1"/>
    <xf numFmtId="167" fontId="173" fillId="0" borderId="0" xfId="13" applyNumberFormat="1" applyFont="1" applyFill="1" applyBorder="1" applyAlignment="1">
      <alignment horizontal="right"/>
    </xf>
    <xf numFmtId="0" fontId="121" fillId="0" borderId="0" xfId="0" applyFont="1" applyAlignment="1">
      <alignment horizontal="center" vertical="center"/>
    </xf>
    <xf numFmtId="0" fontId="53" fillId="0" borderId="0" xfId="0" applyFont="1"/>
    <xf numFmtId="49" fontId="11" fillId="0" borderId="0" xfId="0" applyNumberFormat="1" applyFont="1" applyAlignment="1" applyProtection="1">
      <alignment horizontal="left" vertical="top" wrapText="1"/>
      <protection locked="0"/>
    </xf>
    <xf numFmtId="0" fontId="13" fillId="5" borderId="0" xfId="0" applyFont="1" applyFill="1" applyAlignment="1">
      <alignment horizontal="left"/>
    </xf>
    <xf numFmtId="3" fontId="13" fillId="5" borderId="0" xfId="0" applyNumberFormat="1" applyFont="1" applyFill="1" applyAlignment="1">
      <alignment horizontal="left" vertical="top"/>
    </xf>
    <xf numFmtId="0" fontId="23" fillId="0" borderId="0" xfId="14" applyFont="1"/>
    <xf numFmtId="0" fontId="106" fillId="0" borderId="0" xfId="14" applyFont="1"/>
    <xf numFmtId="0" fontId="33" fillId="0" borderId="1" xfId="14" applyBorder="1" applyAlignment="1">
      <alignment wrapText="1"/>
    </xf>
    <xf numFmtId="178" fontId="33" fillId="0" borderId="1" xfId="14" applyNumberFormat="1" applyBorder="1"/>
    <xf numFmtId="172" fontId="33" fillId="0" borderId="1" xfId="14" applyNumberFormat="1" applyBorder="1"/>
    <xf numFmtId="179" fontId="33" fillId="0" borderId="1" xfId="14" applyNumberFormat="1" applyBorder="1"/>
    <xf numFmtId="0" fontId="33" fillId="0" borderId="0" xfId="14" applyAlignment="1">
      <alignment wrapText="1"/>
    </xf>
    <xf numFmtId="179" fontId="52" fillId="0" borderId="0" xfId="14" applyNumberFormat="1" applyFont="1"/>
    <xf numFmtId="172" fontId="52" fillId="0" borderId="0" xfId="14" applyNumberFormat="1" applyFont="1"/>
    <xf numFmtId="0" fontId="23" fillId="0" borderId="1" xfId="14" applyFont="1" applyBorder="1"/>
    <xf numFmtId="0" fontId="23" fillId="0" borderId="5" xfId="14" applyFont="1" applyBorder="1" applyAlignment="1">
      <alignment horizontal="center"/>
    </xf>
    <xf numFmtId="0" fontId="23" fillId="0" borderId="8" xfId="14" applyFont="1" applyBorder="1" applyAlignment="1">
      <alignment horizontal="center"/>
    </xf>
    <xf numFmtId="0" fontId="23" fillId="0" borderId="14" xfId="14" applyFont="1" applyBorder="1" applyAlignment="1">
      <alignment horizontal="center"/>
    </xf>
    <xf numFmtId="1" fontId="33" fillId="0" borderId="1" xfId="14" applyNumberFormat="1" applyBorder="1" applyAlignment="1">
      <alignment horizontal="center"/>
    </xf>
    <xf numFmtId="191" fontId="33" fillId="0" borderId="1" xfId="14" applyNumberFormat="1" applyBorder="1" applyAlignment="1">
      <alignment horizontal="center"/>
    </xf>
    <xf numFmtId="167" fontId="33" fillId="0" borderId="1" xfId="14" applyNumberFormat="1" applyBorder="1" applyAlignment="1">
      <alignment horizontal="center"/>
    </xf>
    <xf numFmtId="191" fontId="33" fillId="0" borderId="1" xfId="14" applyNumberFormat="1" applyBorder="1"/>
    <xf numFmtId="175" fontId="33" fillId="0" borderId="1" xfId="14" applyNumberFormat="1" applyBorder="1"/>
    <xf numFmtId="0" fontId="33" fillId="0" borderId="2" xfId="14" applyBorder="1" applyAlignment="1">
      <alignment horizontal="center"/>
    </xf>
    <xf numFmtId="175" fontId="33" fillId="0" borderId="1" xfId="14" applyNumberFormat="1" applyBorder="1" applyAlignment="1">
      <alignment horizontal="center"/>
    </xf>
    <xf numFmtId="167" fontId="33" fillId="0" borderId="15" xfId="14" applyNumberFormat="1" applyBorder="1" applyAlignment="1">
      <alignment horizontal="center"/>
    </xf>
    <xf numFmtId="177" fontId="23" fillId="0" borderId="1" xfId="14" applyNumberFormat="1" applyFont="1" applyBorder="1"/>
    <xf numFmtId="172" fontId="0" fillId="0" borderId="0" xfId="0" applyNumberFormat="1" applyAlignment="1">
      <alignment shrinkToFit="1"/>
    </xf>
    <xf numFmtId="14" fontId="18" fillId="0" borderId="1" xfId="0" applyNumberFormat="1" applyFont="1" applyBorder="1" applyAlignment="1">
      <alignment horizontal="center" vertical="top"/>
    </xf>
    <xf numFmtId="0" fontId="18" fillId="0" borderId="1" xfId="0" applyFont="1" applyBorder="1" applyAlignment="1">
      <alignment horizontal="center" vertical="top" wrapText="1"/>
    </xf>
    <xf numFmtId="49" fontId="18" fillId="0" borderId="1" xfId="0" applyNumberFormat="1" applyFont="1" applyBorder="1" applyAlignment="1">
      <alignment horizontal="left" vertical="top" wrapText="1"/>
    </xf>
    <xf numFmtId="0" fontId="22" fillId="0" borderId="0" xfId="0" applyFont="1" applyAlignment="1">
      <alignment wrapText="1"/>
    </xf>
    <xf numFmtId="0" fontId="22" fillId="0" borderId="1" xfId="0" applyFont="1" applyBorder="1"/>
    <xf numFmtId="49" fontId="22" fillId="0" borderId="108" xfId="0" applyNumberFormat="1" applyFont="1" applyBorder="1"/>
    <xf numFmtId="49" fontId="22" fillId="0" borderId="111" xfId="0" applyNumberFormat="1" applyFont="1" applyBorder="1"/>
    <xf numFmtId="0" fontId="179" fillId="0" borderId="1" xfId="0" applyFont="1" applyBorder="1" applyAlignment="1">
      <alignment horizontal="left" wrapText="1"/>
    </xf>
    <xf numFmtId="0" fontId="68" fillId="0" borderId="0" xfId="0" applyFont="1" applyAlignment="1">
      <alignment vertical="top"/>
    </xf>
    <xf numFmtId="0" fontId="68" fillId="0" borderId="0" xfId="0" applyFont="1" applyProtection="1">
      <protection locked="0"/>
    </xf>
    <xf numFmtId="0" fontId="11" fillId="21" borderId="0" xfId="2" applyFont="1" applyFill="1" applyAlignment="1" applyProtection="1">
      <alignment vertical="top"/>
      <protection hidden="1"/>
    </xf>
    <xf numFmtId="0" fontId="90" fillId="21" borderId="0" xfId="2" applyFont="1" applyFill="1" applyAlignment="1" applyProtection="1">
      <alignment vertical="top"/>
      <protection hidden="1"/>
    </xf>
    <xf numFmtId="0" fontId="60" fillId="0" borderId="0" xfId="0" applyFont="1" applyAlignment="1">
      <alignment horizontal="center" vertical="center" wrapText="1"/>
    </xf>
    <xf numFmtId="0" fontId="0" fillId="0" borderId="0" xfId="0" applyAlignment="1">
      <alignment horizontal="center" wrapText="1"/>
    </xf>
    <xf numFmtId="10" fontId="161" fillId="0" borderId="0" xfId="0" applyNumberFormat="1" applyFont="1"/>
    <xf numFmtId="10" fontId="5" fillId="0" borderId="0" xfId="6" applyNumberFormat="1" applyFont="1"/>
    <xf numFmtId="10" fontId="0" fillId="0" borderId="0" xfId="0" applyNumberFormat="1"/>
    <xf numFmtId="10" fontId="5" fillId="0" borderId="0" xfId="0" applyNumberFormat="1" applyFont="1"/>
    <xf numFmtId="49" fontId="0" fillId="38" borderId="1" xfId="0" applyNumberFormat="1" applyFill="1" applyBorder="1"/>
    <xf numFmtId="0" fontId="117" fillId="73" borderId="1" xfId="0" applyFont="1" applyFill="1" applyBorder="1"/>
    <xf numFmtId="0" fontId="0" fillId="3" borderId="1" xfId="0" applyFill="1" applyBorder="1" applyAlignment="1">
      <alignment horizontal="right"/>
    </xf>
    <xf numFmtId="0" fontId="0" fillId="2" borderId="1" xfId="0" applyFill="1" applyBorder="1"/>
    <xf numFmtId="0" fontId="0" fillId="8" borderId="1" xfId="0" applyFill="1" applyBorder="1"/>
    <xf numFmtId="0" fontId="0" fillId="0" borderId="1" xfId="0" applyBorder="1" applyAlignment="1">
      <alignment horizontal="left"/>
    </xf>
    <xf numFmtId="169" fontId="0" fillId="0" borderId="1" xfId="0" applyNumberFormat="1" applyBorder="1"/>
    <xf numFmtId="14" fontId="0" fillId="0" borderId="1" xfId="0" applyNumberFormat="1" applyBorder="1" applyAlignment="1">
      <alignment horizontal="left"/>
    </xf>
    <xf numFmtId="0" fontId="0" fillId="3" borderId="1" xfId="0" applyFill="1" applyBorder="1"/>
    <xf numFmtId="0" fontId="0" fillId="3" borderId="2" xfId="0" applyFill="1" applyBorder="1"/>
    <xf numFmtId="0" fontId="0" fillId="9" borderId="1" xfId="0" applyFill="1" applyBorder="1"/>
    <xf numFmtId="0" fontId="0" fillId="2" borderId="6" xfId="0" applyFill="1" applyBorder="1" applyAlignment="1">
      <alignment horizontal="right"/>
    </xf>
    <xf numFmtId="0" fontId="0" fillId="2" borderId="3" xfId="0" applyFill="1" applyBorder="1"/>
    <xf numFmtId="0" fontId="8" fillId="9" borderId="1" xfId="1" applyFill="1" applyBorder="1" applyProtection="1"/>
    <xf numFmtId="1" fontId="0" fillId="0" borderId="1" xfId="0" applyNumberFormat="1" applyBorder="1"/>
    <xf numFmtId="172" fontId="0" fillId="0" borderId="1" xfId="0" applyNumberFormat="1" applyBorder="1"/>
    <xf numFmtId="167" fontId="0" fillId="0" borderId="1" xfId="0" applyNumberFormat="1" applyBorder="1"/>
    <xf numFmtId="0" fontId="0" fillId="2" borderId="7" xfId="0" applyFill="1" applyBorder="1" applyAlignment="1">
      <alignment horizontal="right"/>
    </xf>
    <xf numFmtId="0" fontId="0" fillId="2" borderId="4" xfId="0" applyFill="1" applyBorder="1"/>
    <xf numFmtId="0" fontId="0" fillId="2" borderId="5" xfId="0" applyFill="1" applyBorder="1"/>
    <xf numFmtId="15" fontId="8" fillId="9" borderId="1" xfId="1" applyNumberFormat="1" applyFill="1" applyBorder="1" applyProtection="1"/>
    <xf numFmtId="15" fontId="0" fillId="2" borderId="7" xfId="0" applyNumberFormat="1" applyFill="1" applyBorder="1" applyAlignment="1">
      <alignment horizontal="right"/>
    </xf>
    <xf numFmtId="15" fontId="0" fillId="2" borderId="4" xfId="0" applyNumberFormat="1" applyFill="1" applyBorder="1"/>
    <xf numFmtId="15" fontId="0" fillId="2" borderId="4" xfId="0" applyNumberFormat="1" applyFill="1" applyBorder="1" applyAlignment="1">
      <alignment wrapText="1"/>
    </xf>
    <xf numFmtId="15" fontId="0" fillId="2" borderId="5" xfId="0" applyNumberFormat="1" applyFill="1" applyBorder="1"/>
    <xf numFmtId="0" fontId="0" fillId="7" borderId="1" xfId="0" applyFill="1" applyBorder="1"/>
    <xf numFmtId="15" fontId="0" fillId="2" borderId="6" xfId="0" applyNumberFormat="1" applyFill="1" applyBorder="1" applyAlignment="1">
      <alignment horizontal="right"/>
    </xf>
    <xf numFmtId="1" fontId="0" fillId="10" borderId="1" xfId="0" applyNumberFormat="1" applyFill="1" applyBorder="1"/>
    <xf numFmtId="172" fontId="0" fillId="10" borderId="1" xfId="0" applyNumberFormat="1" applyFill="1" applyBorder="1"/>
    <xf numFmtId="167" fontId="0" fillId="10" borderId="1" xfId="0" applyNumberFormat="1" applyFill="1" applyBorder="1"/>
    <xf numFmtId="2" fontId="0" fillId="10" borderId="1" xfId="0" applyNumberFormat="1" applyFill="1" applyBorder="1"/>
    <xf numFmtId="15" fontId="0" fillId="2" borderId="12" xfId="0" applyNumberFormat="1" applyFill="1" applyBorder="1" applyAlignment="1">
      <alignment horizontal="right"/>
    </xf>
    <xf numFmtId="15" fontId="0" fillId="2" borderId="3" xfId="0" applyNumberFormat="1" applyFill="1" applyBorder="1"/>
    <xf numFmtId="0" fontId="36" fillId="0" borderId="0" xfId="0" applyFont="1" applyAlignment="1">
      <alignment horizontal="right"/>
    </xf>
    <xf numFmtId="0" fontId="19" fillId="0" borderId="11" xfId="0" applyFont="1" applyBorder="1"/>
    <xf numFmtId="9" fontId="19" fillId="0" borderId="0" xfId="6" applyFont="1" applyFill="1" applyProtection="1"/>
    <xf numFmtId="0" fontId="0" fillId="2" borderId="0" xfId="0" applyFill="1"/>
    <xf numFmtId="0" fontId="36" fillId="0" borderId="0" xfId="0" applyFont="1"/>
    <xf numFmtId="9" fontId="0" fillId="0" borderId="0" xfId="6" applyFont="1" applyFill="1" applyProtection="1"/>
    <xf numFmtId="49" fontId="182" fillId="35" borderId="110" xfId="0" applyNumberFormat="1" applyFont="1" applyFill="1" applyBorder="1"/>
    <xf numFmtId="0" fontId="182" fillId="35" borderId="110" xfId="0" applyFont="1" applyFill="1" applyBorder="1"/>
    <xf numFmtId="49" fontId="182" fillId="0" borderId="110" xfId="0" applyNumberFormat="1" applyFont="1" applyBorder="1"/>
    <xf numFmtId="0" fontId="182" fillId="0" borderId="110" xfId="0" applyFont="1" applyBorder="1"/>
    <xf numFmtId="0" fontId="0" fillId="2" borderId="0" xfId="0" applyFill="1" applyProtection="1">
      <protection locked="0"/>
    </xf>
    <xf numFmtId="0" fontId="78" fillId="72" borderId="8" xfId="0" applyFont="1" applyFill="1" applyBorder="1" applyAlignment="1">
      <alignment horizontal="center" vertical="center"/>
    </xf>
    <xf numFmtId="0" fontId="78" fillId="72" borderId="0" xfId="0" applyFont="1" applyFill="1" applyAlignment="1">
      <alignment horizontal="center" vertical="center"/>
    </xf>
    <xf numFmtId="0" fontId="185" fillId="0" borderId="0" xfId="0" applyFont="1"/>
    <xf numFmtId="14" fontId="18" fillId="0" borderId="6" xfId="0" applyNumberFormat="1" applyFont="1" applyBorder="1" applyAlignment="1">
      <alignment horizontal="center" vertical="top"/>
    </xf>
    <xf numFmtId="0" fontId="18" fillId="0" borderId="6" xfId="0" applyFont="1" applyBorder="1" applyAlignment="1">
      <alignment horizontal="center" vertical="top" wrapText="1"/>
    </xf>
    <xf numFmtId="49" fontId="18" fillId="0" borderId="227" xfId="0" applyNumberFormat="1" applyFont="1" applyBorder="1" applyAlignment="1">
      <alignment horizontal="left" vertical="top" wrapText="1"/>
    </xf>
    <xf numFmtId="0" fontId="18" fillId="0" borderId="228" xfId="0" applyFont="1" applyBorder="1" applyAlignment="1">
      <alignment horizontal="left" wrapText="1"/>
    </xf>
    <xf numFmtId="49" fontId="18" fillId="0" borderId="7" xfId="0" applyNumberFormat="1" applyFont="1" applyBorder="1" applyAlignment="1">
      <alignment horizontal="left" vertical="top" wrapText="1"/>
    </xf>
    <xf numFmtId="49" fontId="18" fillId="0" borderId="6" xfId="0" applyNumberFormat="1" applyFont="1" applyBorder="1" applyAlignment="1">
      <alignment horizontal="left" vertical="top" wrapText="1"/>
    </xf>
    <xf numFmtId="14" fontId="18" fillId="0" borderId="227" xfId="0" applyNumberFormat="1" applyFont="1" applyBorder="1" applyAlignment="1">
      <alignment horizontal="center" vertical="top"/>
    </xf>
    <xf numFmtId="0" fontId="18" fillId="0" borderId="227" xfId="0" applyFont="1" applyBorder="1" applyAlignment="1">
      <alignment horizontal="center" vertical="top" wrapText="1"/>
    </xf>
    <xf numFmtId="49" fontId="18" fillId="0" borderId="227" xfId="0" applyNumberFormat="1" applyFont="1" applyBorder="1" applyAlignment="1">
      <alignment horizontal="center" vertical="top" wrapText="1"/>
    </xf>
    <xf numFmtId="0" fontId="18" fillId="0" borderId="6" xfId="0" applyFont="1" applyBorder="1" applyAlignment="1">
      <alignment horizontal="left" wrapText="1"/>
    </xf>
    <xf numFmtId="0" fontId="18" fillId="0" borderId="6" xfId="0" applyFont="1" applyBorder="1" applyAlignment="1">
      <alignment horizontal="left" vertical="top" wrapText="1"/>
    </xf>
    <xf numFmtId="49" fontId="18" fillId="0" borderId="228" xfId="0" applyNumberFormat="1" applyFont="1" applyBorder="1" applyAlignment="1">
      <alignment horizontal="left" vertical="top" wrapText="1"/>
    </xf>
    <xf numFmtId="0" fontId="18" fillId="0" borderId="227" xfId="0" applyFont="1" applyBorder="1" applyAlignment="1">
      <alignment horizontal="left" wrapText="1"/>
    </xf>
    <xf numFmtId="0" fontId="128" fillId="0" borderId="0" xfId="0" applyFont="1"/>
    <xf numFmtId="0" fontId="186" fillId="0" borderId="0" xfId="0" applyFont="1"/>
    <xf numFmtId="14" fontId="18" fillId="0" borderId="228" xfId="0" applyNumberFormat="1" applyFont="1" applyBorder="1" applyAlignment="1">
      <alignment horizontal="center" vertical="top"/>
    </xf>
    <xf numFmtId="0" fontId="18" fillId="0" borderId="228" xfId="0" applyFont="1" applyBorder="1" applyAlignment="1">
      <alignment horizontal="center" vertical="top" wrapText="1"/>
    </xf>
    <xf numFmtId="49" fontId="18" fillId="0" borderId="228" xfId="0" applyNumberFormat="1" applyFont="1" applyBorder="1" applyAlignment="1">
      <alignment horizontal="center" vertical="top" wrapText="1"/>
    </xf>
    <xf numFmtId="0" fontId="8" fillId="0" borderId="0" xfId="1" applyFill="1"/>
    <xf numFmtId="0" fontId="22" fillId="13" borderId="0" xfId="0" applyFont="1" applyFill="1"/>
    <xf numFmtId="0" fontId="51" fillId="0" borderId="0" xfId="0" applyFont="1" applyAlignment="1">
      <alignment horizontal="center"/>
    </xf>
    <xf numFmtId="0" fontId="0" fillId="75" borderId="0" xfId="0" applyFill="1"/>
    <xf numFmtId="0" fontId="78" fillId="33" borderId="0" xfId="0" applyFont="1" applyFill="1" applyAlignment="1">
      <alignment horizontal="center" vertical="center"/>
    </xf>
    <xf numFmtId="167" fontId="78" fillId="33" borderId="0" xfId="0" applyNumberFormat="1" applyFont="1" applyFill="1" applyAlignment="1">
      <alignment horizontal="center" vertical="center"/>
    </xf>
    <xf numFmtId="0" fontId="78" fillId="76" borderId="0" xfId="0" applyFont="1" applyFill="1" applyAlignment="1">
      <alignment horizontal="center" vertical="center"/>
    </xf>
    <xf numFmtId="0" fontId="78" fillId="76" borderId="8" xfId="0" applyFont="1" applyFill="1" applyBorder="1" applyAlignment="1">
      <alignment horizontal="center" vertical="center"/>
    </xf>
    <xf numFmtId="0" fontId="18" fillId="0" borderId="6" xfId="0" applyFont="1" applyBorder="1" applyAlignment="1">
      <alignment horizontal="left" vertical="center" wrapText="1"/>
    </xf>
    <xf numFmtId="0" fontId="18" fillId="0" borderId="228" xfId="0" applyFont="1" applyBorder="1" applyAlignment="1">
      <alignment horizontal="left" vertical="center" wrapText="1"/>
    </xf>
    <xf numFmtId="0" fontId="0" fillId="0" borderId="0" xfId="0" applyAlignment="1">
      <alignment vertical="top" wrapText="1"/>
    </xf>
    <xf numFmtId="0" fontId="0" fillId="77" borderId="0" xfId="0" applyFill="1"/>
    <xf numFmtId="0" fontId="18" fillId="0" borderId="230" xfId="0" applyFont="1" applyBorder="1" applyAlignment="1">
      <alignment horizontal="left" vertical="center" wrapText="1"/>
    </xf>
    <xf numFmtId="49" fontId="18" fillId="0" borderId="1" xfId="0" applyNumberFormat="1" applyFont="1" applyBorder="1" applyAlignment="1">
      <alignment vertical="top" wrapText="1"/>
    </xf>
    <xf numFmtId="0" fontId="187" fillId="0" borderId="0" xfId="1" applyFont="1" applyFill="1"/>
    <xf numFmtId="174" fontId="57" fillId="0" borderId="0" xfId="0" quotePrefix="1" applyNumberFormat="1" applyFont="1" applyAlignment="1">
      <alignment horizontal="right" vertical="center"/>
    </xf>
    <xf numFmtId="167" fontId="57" fillId="0" borderId="0" xfId="0" quotePrefix="1" applyNumberFormat="1" applyFont="1" applyAlignment="1">
      <alignment horizontal="right" vertical="center"/>
    </xf>
    <xf numFmtId="1" fontId="22" fillId="0" borderId="0" xfId="0" applyNumberFormat="1" applyFont="1" applyAlignment="1">
      <alignment horizontal="center"/>
    </xf>
    <xf numFmtId="0" fontId="174" fillId="0" borderId="0" xfId="0" applyFont="1" applyAlignment="1">
      <alignment horizontal="left"/>
    </xf>
    <xf numFmtId="176" fontId="22" fillId="0" borderId="0" xfId="0" quotePrefix="1" applyNumberFormat="1" applyFont="1"/>
    <xf numFmtId="167" fontId="22" fillId="0" borderId="0" xfId="0" applyNumberFormat="1" applyFont="1" applyAlignment="1">
      <alignment horizontal="left"/>
    </xf>
    <xf numFmtId="176" fontId="22" fillId="0" borderId="0" xfId="0" applyNumberFormat="1" applyFont="1"/>
    <xf numFmtId="169" fontId="22" fillId="0" borderId="0" xfId="0" applyNumberFormat="1" applyFont="1" applyAlignment="1">
      <alignment horizontal="center"/>
    </xf>
    <xf numFmtId="2" fontId="22" fillId="0" borderId="0" xfId="0" applyNumberFormat="1" applyFont="1" applyAlignment="1">
      <alignment horizontal="left"/>
    </xf>
    <xf numFmtId="176" fontId="174" fillId="0" borderId="0" xfId="0" applyNumberFormat="1" applyFont="1"/>
    <xf numFmtId="176" fontId="174" fillId="0" borderId="0" xfId="0" quotePrefix="1" applyNumberFormat="1" applyFont="1"/>
    <xf numFmtId="0" fontId="174" fillId="0" borderId="0" xfId="0" applyFont="1" applyAlignment="1">
      <alignment horizontal="center"/>
    </xf>
    <xf numFmtId="167" fontId="22" fillId="0" borderId="0" xfId="0" applyNumberFormat="1" applyFont="1" applyAlignment="1">
      <alignment wrapText="1"/>
    </xf>
    <xf numFmtId="0" fontId="0" fillId="0" borderId="0" xfId="0" applyAlignment="1">
      <alignment horizontal="left" vertical="top" wrapText="1"/>
    </xf>
    <xf numFmtId="0" fontId="66" fillId="0" borderId="0" xfId="0" applyFont="1" applyAlignment="1">
      <alignment horizontal="center" vertical="top"/>
    </xf>
    <xf numFmtId="9" fontId="120" fillId="0" borderId="0" xfId="0" applyNumberFormat="1" applyFont="1" applyAlignment="1">
      <alignment horizontal="center" vertical="center"/>
    </xf>
    <xf numFmtId="0" fontId="66" fillId="0" borderId="0" xfId="0" applyFont="1" applyAlignment="1">
      <alignment horizontal="center" vertical="center"/>
    </xf>
    <xf numFmtId="0" fontId="66" fillId="0" borderId="35" xfId="0" applyFont="1" applyBorder="1" applyAlignment="1">
      <alignment vertical="center"/>
    </xf>
    <xf numFmtId="2" fontId="0" fillId="13" borderId="0" xfId="0" applyNumberFormat="1" applyFill="1"/>
    <xf numFmtId="0" fontId="168" fillId="0" borderId="0" xfId="69">
      <alignment horizontal="left"/>
    </xf>
    <xf numFmtId="0" fontId="174" fillId="13" borderId="0" xfId="0" applyFont="1" applyFill="1" applyAlignment="1">
      <alignment horizontal="left"/>
    </xf>
    <xf numFmtId="167" fontId="0" fillId="13" borderId="1" xfId="0" applyNumberFormat="1" applyFill="1" applyBorder="1"/>
    <xf numFmtId="1" fontId="0" fillId="13" borderId="1" xfId="0" applyNumberFormat="1" applyFill="1" applyBorder="1"/>
    <xf numFmtId="0" fontId="0" fillId="13" borderId="1" xfId="0" applyFill="1" applyBorder="1"/>
    <xf numFmtId="172" fontId="0" fillId="13" borderId="1" xfId="0" applyNumberFormat="1" applyFill="1" applyBorder="1"/>
    <xf numFmtId="3" fontId="22" fillId="13" borderId="0" xfId="13" applyNumberFormat="1" applyFont="1" applyFill="1" applyBorder="1" applyAlignment="1">
      <alignment horizontal="center"/>
    </xf>
    <xf numFmtId="0" fontId="78" fillId="13" borderId="0" xfId="0" applyFont="1" applyFill="1"/>
    <xf numFmtId="169" fontId="22" fillId="13" borderId="0" xfId="0" applyNumberFormat="1" applyFont="1" applyFill="1" applyAlignment="1">
      <alignment horizontal="left"/>
    </xf>
    <xf numFmtId="0" fontId="22" fillId="13" borderId="0" xfId="0" applyFont="1" applyFill="1" applyAlignment="1">
      <alignment horizontal="left"/>
    </xf>
    <xf numFmtId="167" fontId="57" fillId="13" borderId="0" xfId="0" quotePrefix="1" applyNumberFormat="1" applyFont="1" applyFill="1" applyAlignment="1">
      <alignment horizontal="right" vertical="center"/>
    </xf>
    <xf numFmtId="193" fontId="9" fillId="0" borderId="0" xfId="15" applyNumberFormat="1" applyFont="1" applyFill="1" applyBorder="1" applyAlignment="1"/>
    <xf numFmtId="0" fontId="22" fillId="0" borderId="0" xfId="6" applyNumberFormat="1" applyFont="1" applyFill="1" applyBorder="1" applyAlignment="1">
      <alignment horizontal="center"/>
    </xf>
    <xf numFmtId="169" fontId="0" fillId="0" borderId="0" xfId="0" applyNumberFormat="1" applyAlignment="1">
      <alignment horizontal="center"/>
    </xf>
    <xf numFmtId="0" fontId="189" fillId="0" borderId="0" xfId="0" applyFont="1" applyAlignment="1">
      <alignment horizontal="left"/>
    </xf>
    <xf numFmtId="0" fontId="189" fillId="0" borderId="0" xfId="0" applyFont="1"/>
    <xf numFmtId="0" fontId="189" fillId="0" borderId="0" xfId="0" applyFont="1" applyAlignment="1">
      <alignment horizontal="center"/>
    </xf>
    <xf numFmtId="167" fontId="22" fillId="78" borderId="108" xfId="130" applyNumberFormat="1" applyFont="1" applyFill="1" applyBorder="1"/>
    <xf numFmtId="167" fontId="22" fillId="0" borderId="108" xfId="130" applyNumberFormat="1" applyFont="1" applyBorder="1"/>
    <xf numFmtId="49" fontId="129" fillId="0" borderId="108" xfId="0" applyNumberFormat="1" applyFont="1" applyBorder="1"/>
    <xf numFmtId="3" fontId="22" fillId="0" borderId="0" xfId="15" applyNumberFormat="1" applyFont="1" applyFill="1" applyBorder="1" applyAlignment="1"/>
    <xf numFmtId="173" fontId="22" fillId="0" borderId="0" xfId="15" applyNumberFormat="1" applyFont="1" applyFill="1" applyBorder="1" applyAlignment="1"/>
    <xf numFmtId="0" fontId="129" fillId="0" borderId="0" xfId="0" applyFont="1" applyAlignment="1">
      <alignment horizontal="left"/>
    </xf>
    <xf numFmtId="14" fontId="18" fillId="0" borderId="6" xfId="0" applyNumberFormat="1" applyFont="1" applyBorder="1" applyAlignment="1">
      <alignment horizontal="center"/>
    </xf>
    <xf numFmtId="14" fontId="18" fillId="0" borderId="8" xfId="0" applyNumberFormat="1" applyFont="1" applyBorder="1" applyAlignment="1">
      <alignment horizontal="center"/>
    </xf>
    <xf numFmtId="0" fontId="18" fillId="0" borderId="6" xfId="0" applyFont="1" applyBorder="1" applyAlignment="1">
      <alignment horizontal="center" wrapText="1"/>
    </xf>
    <xf numFmtId="0" fontId="18" fillId="0" borderId="8" xfId="0" applyFont="1" applyBorder="1" applyAlignment="1">
      <alignment horizontal="center" wrapText="1"/>
    </xf>
    <xf numFmtId="49" fontId="18" fillId="0" borderId="6" xfId="0" applyNumberFormat="1" applyFont="1" applyBorder="1" applyAlignment="1">
      <alignment horizontal="center" wrapText="1"/>
    </xf>
    <xf numFmtId="49" fontId="18" fillId="0" borderId="8" xfId="0" applyNumberFormat="1" applyFont="1" applyBorder="1" applyAlignment="1">
      <alignment horizontal="center" wrapText="1"/>
    </xf>
    <xf numFmtId="49" fontId="18" fillId="0" borderId="6" xfId="0" applyNumberFormat="1" applyFont="1" applyBorder="1" applyAlignment="1">
      <alignment horizontal="left" vertical="top" wrapText="1"/>
    </xf>
    <xf numFmtId="49" fontId="18" fillId="0" borderId="7" xfId="0" applyNumberFormat="1" applyFont="1" applyBorder="1" applyAlignment="1">
      <alignment horizontal="left" vertical="top" wrapText="1"/>
    </xf>
    <xf numFmtId="49" fontId="18" fillId="0" borderId="8" xfId="0" applyNumberFormat="1" applyFont="1" applyBorder="1" applyAlignment="1">
      <alignment horizontal="left" vertical="top" wrapText="1"/>
    </xf>
    <xf numFmtId="49" fontId="18" fillId="0" borderId="227" xfId="0" applyNumberFormat="1" applyFont="1" applyBorder="1" applyAlignment="1">
      <alignment horizontal="center" vertical="top" wrapText="1"/>
    </xf>
    <xf numFmtId="49" fontId="18" fillId="0" borderId="7" xfId="0" applyNumberFormat="1" applyFont="1" applyBorder="1" applyAlignment="1">
      <alignment horizontal="center" vertical="top" wrapText="1"/>
    </xf>
    <xf numFmtId="49" fontId="18" fillId="0" borderId="8" xfId="0" applyNumberFormat="1" applyFont="1" applyBorder="1" applyAlignment="1">
      <alignment horizontal="center" vertical="top" wrapText="1"/>
    </xf>
    <xf numFmtId="0" fontId="18" fillId="0" borderId="227"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14" fontId="18" fillId="0" borderId="227" xfId="0" applyNumberFormat="1" applyFont="1" applyBorder="1" applyAlignment="1">
      <alignment horizontal="center" vertical="top"/>
    </xf>
    <xf numFmtId="14" fontId="18" fillId="0" borderId="7" xfId="0" applyNumberFormat="1" applyFont="1" applyBorder="1" applyAlignment="1">
      <alignment horizontal="center" vertical="top"/>
    </xf>
    <xf numFmtId="14" fontId="18" fillId="0" borderId="8" xfId="0" applyNumberFormat="1" applyFont="1" applyBorder="1" applyAlignment="1">
      <alignment horizontal="center" vertical="top"/>
    </xf>
    <xf numFmtId="0" fontId="16" fillId="0" borderId="0" xfId="0" applyFont="1" applyAlignment="1">
      <alignment horizontal="center" vertical="center"/>
    </xf>
    <xf numFmtId="49" fontId="18" fillId="0" borderId="228" xfId="0" applyNumberFormat="1" applyFont="1" applyBorder="1" applyAlignment="1">
      <alignment horizontal="left" vertical="top" wrapText="1"/>
    </xf>
    <xf numFmtId="49" fontId="18" fillId="0" borderId="1" xfId="0" applyNumberFormat="1" applyFont="1" applyBorder="1" applyAlignment="1">
      <alignment horizontal="left" vertical="top" wrapText="1"/>
    </xf>
    <xf numFmtId="49" fontId="18" fillId="0" borderId="227" xfId="0" applyNumberFormat="1" applyFont="1" applyBorder="1" applyAlignment="1">
      <alignment horizontal="left" vertical="top" wrapText="1"/>
    </xf>
    <xf numFmtId="49" fontId="18" fillId="0" borderId="229" xfId="0" applyNumberFormat="1" applyFont="1" applyBorder="1" applyAlignment="1">
      <alignment horizontal="left" vertical="top" wrapText="1"/>
    </xf>
    <xf numFmtId="14" fontId="18" fillId="0" borderId="229" xfId="0" applyNumberFormat="1" applyFont="1" applyBorder="1" applyAlignment="1">
      <alignment horizontal="center" vertical="top"/>
    </xf>
    <xf numFmtId="0" fontId="18" fillId="0" borderId="229" xfId="0" applyFont="1" applyBorder="1" applyAlignment="1">
      <alignment horizontal="center" vertical="top" wrapText="1"/>
    </xf>
    <xf numFmtId="49" fontId="18" fillId="0" borderId="229" xfId="0" applyNumberFormat="1" applyFont="1" applyBorder="1" applyAlignment="1">
      <alignment horizontal="center" vertical="top" wrapText="1"/>
    </xf>
    <xf numFmtId="0" fontId="19" fillId="0" borderId="0" xfId="0" applyFont="1" applyAlignment="1">
      <alignment horizontal="center" wrapText="1"/>
    </xf>
    <xf numFmtId="0" fontId="0" fillId="0" borderId="0" xfId="0" applyAlignment="1">
      <alignment horizontal="center"/>
    </xf>
    <xf numFmtId="0" fontId="0" fillId="0" borderId="0" xfId="0" applyAlignment="1">
      <alignment horizontal="center" wrapText="1"/>
    </xf>
    <xf numFmtId="172" fontId="23" fillId="0" borderId="1" xfId="14" applyNumberFormat="1" applyFont="1" applyBorder="1" applyAlignment="1">
      <alignment horizontal="center"/>
    </xf>
    <xf numFmtId="0" fontId="23" fillId="0" borderId="1" xfId="14" applyFont="1" applyBorder="1" applyAlignment="1">
      <alignment horizontal="center"/>
    </xf>
    <xf numFmtId="0" fontId="29" fillId="30" borderId="0" xfId="0" applyFont="1" applyFill="1" applyAlignment="1">
      <alignment horizontal="center" vertical="top" wrapText="1"/>
    </xf>
    <xf numFmtId="0" fontId="123" fillId="0" borderId="0" xfId="0" applyFont="1" applyAlignment="1">
      <alignment horizontal="right" wrapText="1"/>
    </xf>
    <xf numFmtId="0" fontId="11" fillId="0" borderId="0" xfId="0" applyFont="1" applyAlignment="1">
      <alignment horizontal="left"/>
    </xf>
    <xf numFmtId="165" fontId="11" fillId="0" borderId="0" xfId="0" applyNumberFormat="1" applyFont="1" applyAlignment="1">
      <alignment horizontal="left"/>
    </xf>
    <xf numFmtId="0" fontId="84" fillId="0" borderId="0" xfId="0" applyFont="1" applyAlignment="1">
      <alignment horizontal="left"/>
    </xf>
    <xf numFmtId="0" fontId="64" fillId="4" borderId="0" xfId="91" applyFont="1" applyFill="1" applyBorder="1" applyAlignment="1" applyProtection="1">
      <alignment horizontal="center" vertical="center" wrapText="1"/>
      <protection hidden="1"/>
    </xf>
    <xf numFmtId="0" fontId="188" fillId="4" borderId="0" xfId="91" applyFont="1" applyFill="1" applyBorder="1" applyAlignment="1" applyProtection="1">
      <alignment horizontal="center" vertical="center" wrapText="1"/>
      <protection hidden="1"/>
    </xf>
    <xf numFmtId="0" fontId="188" fillId="4" borderId="35" xfId="91" applyFont="1" applyFill="1" applyBorder="1" applyAlignment="1" applyProtection="1">
      <alignment horizontal="center" vertical="center" wrapText="1"/>
      <protection hidden="1"/>
    </xf>
    <xf numFmtId="0" fontId="134" fillId="16" borderId="36" xfId="91" applyFont="1" applyFill="1" applyBorder="1" applyAlignment="1" applyProtection="1">
      <alignment horizontal="center" vertical="center" wrapText="1"/>
      <protection hidden="1"/>
    </xf>
    <xf numFmtId="0" fontId="134" fillId="16" borderId="0" xfId="91" applyFont="1" applyFill="1" applyBorder="1" applyAlignment="1" applyProtection="1">
      <alignment horizontal="center" vertical="center" wrapText="1"/>
      <protection hidden="1"/>
    </xf>
    <xf numFmtId="0" fontId="134" fillId="16" borderId="72" xfId="91" applyFont="1" applyFill="1" applyBorder="1" applyAlignment="1" applyProtection="1">
      <alignment horizontal="center" vertical="center" wrapText="1"/>
      <protection hidden="1"/>
    </xf>
    <xf numFmtId="0" fontId="111" fillId="4" borderId="0" xfId="91" applyFont="1" applyFill="1" applyBorder="1" applyAlignment="1" applyProtection="1">
      <alignment horizontal="center" vertical="center" wrapText="1"/>
      <protection hidden="1"/>
    </xf>
    <xf numFmtId="0" fontId="112" fillId="4" borderId="0" xfId="91" applyFont="1" applyFill="1" applyBorder="1" applyAlignment="1" applyProtection="1">
      <alignment horizontal="center" vertical="center" wrapText="1"/>
      <protection hidden="1"/>
    </xf>
    <xf numFmtId="0" fontId="112" fillId="4" borderId="35" xfId="91" applyFont="1" applyFill="1" applyBorder="1" applyAlignment="1" applyProtection="1">
      <alignment horizontal="center" vertical="center" wrapText="1"/>
      <protection hidden="1"/>
    </xf>
    <xf numFmtId="0" fontId="25" fillId="0" borderId="0" xfId="0" applyFont="1" applyAlignment="1">
      <alignment horizontal="center" vertical="center" wrapText="1"/>
    </xf>
    <xf numFmtId="0" fontId="25" fillId="0" borderId="35" xfId="0" applyFont="1" applyBorder="1" applyAlignment="1">
      <alignment horizontal="center" vertical="center" wrapText="1"/>
    </xf>
    <xf numFmtId="0" fontId="107" fillId="4" borderId="0" xfId="91" applyFont="1" applyFill="1" applyBorder="1" applyAlignment="1" applyProtection="1">
      <alignment horizontal="center" vertical="center" wrapText="1"/>
      <protection hidden="1"/>
    </xf>
    <xf numFmtId="0" fontId="107" fillId="4" borderId="35" xfId="91" applyFont="1" applyFill="1" applyBorder="1" applyAlignment="1" applyProtection="1">
      <alignment horizontal="center" vertical="center" wrapText="1"/>
      <protection hidden="1"/>
    </xf>
    <xf numFmtId="0" fontId="0" fillId="0" borderId="0" xfId="0" applyAlignment="1">
      <alignment horizontal="left" vertical="top" wrapText="1"/>
    </xf>
    <xf numFmtId="0" fontId="102" fillId="0" borderId="0" xfId="0" applyFont="1" applyAlignment="1">
      <alignment horizontal="center"/>
    </xf>
    <xf numFmtId="0" fontId="35" fillId="0" borderId="0" xfId="0" applyFont="1" applyAlignment="1">
      <alignment horizontal="center" vertical="center" wrapText="1"/>
    </xf>
    <xf numFmtId="0" fontId="121" fillId="0" borderId="36" xfId="0" applyFont="1" applyBorder="1" applyAlignment="1">
      <alignment horizontal="center" vertical="center"/>
    </xf>
    <xf numFmtId="0" fontId="121" fillId="0" borderId="0" xfId="0" applyFont="1" applyAlignment="1">
      <alignment horizontal="center" vertical="center"/>
    </xf>
    <xf numFmtId="0" fontId="121" fillId="0" borderId="73" xfId="0" applyFont="1" applyBorder="1" applyAlignment="1">
      <alignment horizontal="center" vertical="center"/>
    </xf>
    <xf numFmtId="0" fontId="68" fillId="0" borderId="0" xfId="0" applyFont="1" applyAlignment="1">
      <alignment horizontal="left"/>
    </xf>
    <xf numFmtId="0" fontId="68" fillId="0" borderId="37" xfId="0" applyFont="1" applyBorder="1" applyAlignment="1" applyProtection="1">
      <alignment horizontal="left"/>
      <protection locked="0"/>
    </xf>
    <xf numFmtId="0" fontId="68" fillId="0" borderId="38" xfId="0" applyFont="1" applyBorder="1" applyAlignment="1" applyProtection="1">
      <alignment horizontal="left"/>
      <protection locked="0"/>
    </xf>
    <xf numFmtId="0" fontId="68" fillId="0" borderId="39" xfId="0" applyFont="1" applyBorder="1" applyAlignment="1" applyProtection="1">
      <alignment horizontal="left"/>
      <protection locked="0"/>
    </xf>
    <xf numFmtId="14" fontId="68" fillId="0" borderId="37" xfId="0" applyNumberFormat="1" applyFont="1" applyBorder="1" applyAlignment="1" applyProtection="1">
      <alignment horizontal="left"/>
      <protection locked="0"/>
    </xf>
    <xf numFmtId="14" fontId="68" fillId="0" borderId="38" xfId="0" applyNumberFormat="1" applyFont="1" applyBorder="1" applyAlignment="1" applyProtection="1">
      <alignment horizontal="left"/>
      <protection locked="0"/>
    </xf>
    <xf numFmtId="14" fontId="68" fillId="0" borderId="39" xfId="0" applyNumberFormat="1" applyFont="1" applyBorder="1" applyAlignment="1" applyProtection="1">
      <alignment horizontal="left"/>
      <protection locked="0"/>
    </xf>
    <xf numFmtId="0" fontId="68" fillId="2" borderId="47" xfId="0" applyFont="1" applyFill="1" applyBorder="1" applyAlignment="1">
      <alignment horizontal="left" vertical="center" wrapText="1"/>
    </xf>
    <xf numFmtId="0" fontId="68" fillId="2" borderId="48" xfId="0" applyFont="1" applyFill="1" applyBorder="1" applyAlignment="1">
      <alignment horizontal="left" vertical="center" wrapText="1"/>
    </xf>
    <xf numFmtId="0" fontId="68" fillId="2" borderId="49" xfId="0" applyFont="1" applyFill="1" applyBorder="1" applyAlignment="1">
      <alignment horizontal="left" vertical="center" wrapText="1"/>
    </xf>
    <xf numFmtId="0" fontId="68" fillId="2" borderId="52" xfId="0" applyFont="1" applyFill="1" applyBorder="1" applyAlignment="1">
      <alignment horizontal="left" vertical="center" wrapText="1"/>
    </xf>
    <xf numFmtId="0" fontId="68" fillId="2" borderId="53" xfId="0" applyFont="1" applyFill="1" applyBorder="1" applyAlignment="1">
      <alignment horizontal="left" vertical="center" wrapText="1"/>
    </xf>
    <xf numFmtId="0" fontId="68" fillId="2" borderId="54" xfId="0" applyFont="1" applyFill="1" applyBorder="1" applyAlignment="1">
      <alignment horizontal="left" vertical="center" wrapText="1"/>
    </xf>
    <xf numFmtId="0" fontId="68" fillId="2" borderId="50"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51" xfId="0" applyFont="1" applyFill="1" applyBorder="1" applyAlignment="1">
      <alignment horizontal="left" vertical="center" wrapText="1"/>
    </xf>
    <xf numFmtId="0" fontId="75" fillId="0" borderId="0" xfId="0" applyFont="1" applyAlignment="1">
      <alignment horizontal="center" vertical="center"/>
    </xf>
    <xf numFmtId="0" fontId="68" fillId="2" borderId="47" xfId="0" applyFont="1" applyFill="1" applyBorder="1" applyAlignment="1">
      <alignment horizontal="left" wrapText="1"/>
    </xf>
    <xf numFmtId="0" fontId="68" fillId="2" borderId="48" xfId="0" applyFont="1" applyFill="1" applyBorder="1" applyAlignment="1">
      <alignment horizontal="left" wrapText="1"/>
    </xf>
    <xf numFmtId="0" fontId="68" fillId="2" borderId="49" xfId="0" applyFont="1" applyFill="1" applyBorder="1" applyAlignment="1">
      <alignment horizontal="left" wrapText="1"/>
    </xf>
    <xf numFmtId="0" fontId="68" fillId="2" borderId="50" xfId="0" applyFont="1" applyFill="1" applyBorder="1" applyAlignment="1">
      <alignment horizontal="left" wrapText="1"/>
    </xf>
    <xf numFmtId="0" fontId="68" fillId="2" borderId="0" xfId="0" applyFont="1" applyFill="1" applyAlignment="1">
      <alignment horizontal="left" wrapText="1"/>
    </xf>
    <xf numFmtId="0" fontId="68" fillId="2" borderId="51" xfId="0" applyFont="1" applyFill="1" applyBorder="1" applyAlignment="1">
      <alignment horizontal="left" wrapText="1"/>
    </xf>
    <xf numFmtId="0" fontId="68" fillId="2" borderId="52" xfId="0" applyFont="1" applyFill="1" applyBorder="1" applyAlignment="1">
      <alignment horizontal="left" wrapText="1"/>
    </xf>
    <xf numFmtId="0" fontId="68" fillId="2" borderId="53" xfId="0" applyFont="1" applyFill="1" applyBorder="1" applyAlignment="1">
      <alignment horizontal="left" wrapText="1"/>
    </xf>
    <xf numFmtId="0" fontId="68" fillId="2" borderId="54" xfId="0" applyFont="1" applyFill="1" applyBorder="1" applyAlignment="1">
      <alignment horizontal="left" wrapText="1"/>
    </xf>
    <xf numFmtId="0" fontId="66" fillId="0" borderId="0" xfId="0" applyFont="1" applyAlignment="1">
      <alignment horizontal="center" vertical="top"/>
    </xf>
    <xf numFmtId="0" fontId="66" fillId="0" borderId="0" xfId="0" applyFont="1" applyAlignment="1">
      <alignment horizontal="center" vertical="center"/>
    </xf>
    <xf numFmtId="167" fontId="120" fillId="0" borderId="0" xfId="0" applyNumberFormat="1" applyFont="1" applyAlignment="1">
      <alignment horizontal="center" vertical="center"/>
    </xf>
    <xf numFmtId="9" fontId="120" fillId="0" borderId="0" xfId="0" applyNumberFormat="1" applyFont="1" applyAlignment="1">
      <alignment horizontal="center" vertical="center"/>
    </xf>
    <xf numFmtId="171" fontId="68" fillId="0" borderId="37" xfId="0" applyNumberFormat="1" applyFont="1" applyBorder="1" applyAlignment="1" applyProtection="1">
      <alignment horizontal="left"/>
      <protection locked="0"/>
    </xf>
    <xf numFmtId="171" fontId="68" fillId="0" borderId="38" xfId="0" applyNumberFormat="1" applyFont="1" applyBorder="1" applyAlignment="1" applyProtection="1">
      <alignment horizontal="left"/>
      <protection locked="0"/>
    </xf>
    <xf numFmtId="171" fontId="68" fillId="0" borderId="39" xfId="0" applyNumberFormat="1" applyFont="1" applyBorder="1" applyAlignment="1" applyProtection="1">
      <alignment horizontal="left"/>
      <protection locked="0"/>
    </xf>
    <xf numFmtId="0" fontId="8" fillId="0" borderId="37" xfId="1" applyBorder="1" applyAlignment="1" applyProtection="1">
      <alignment horizontal="left"/>
      <protection locked="0"/>
    </xf>
    <xf numFmtId="0" fontId="68" fillId="0" borderId="0" xfId="0" applyFont="1" applyAlignment="1">
      <alignment horizontal="center" vertical="top"/>
    </xf>
    <xf numFmtId="0" fontId="66" fillId="0" borderId="35" xfId="0" applyFont="1" applyBorder="1" applyAlignment="1">
      <alignment horizontal="center" vertical="center"/>
    </xf>
    <xf numFmtId="0" fontId="53" fillId="0" borderId="151" xfId="0" applyFont="1" applyBorder="1" applyAlignment="1">
      <alignment horizontal="left"/>
    </xf>
    <xf numFmtId="0" fontId="190" fillId="0" borderId="0" xfId="0" applyFont="1" applyAlignment="1">
      <alignment horizontal="left" vertical="top" wrapText="1"/>
    </xf>
    <xf numFmtId="0" fontId="68" fillId="4" borderId="0" xfId="0" applyFont="1" applyFill="1" applyAlignment="1">
      <alignment horizontal="left"/>
    </xf>
    <xf numFmtId="0" fontId="68" fillId="0" borderId="40" xfId="0" applyFont="1" applyBorder="1" applyAlignment="1" applyProtection="1">
      <alignment horizontal="left" vertical="top" wrapText="1"/>
      <protection locked="0"/>
    </xf>
    <xf numFmtId="0" fontId="68" fillId="0" borderId="41" xfId="0" applyFont="1" applyBorder="1" applyAlignment="1" applyProtection="1">
      <alignment horizontal="left" vertical="top" wrapText="1"/>
      <protection locked="0"/>
    </xf>
    <xf numFmtId="0" fontId="68" fillId="0" borderId="42" xfId="0" applyFont="1" applyBorder="1" applyAlignment="1" applyProtection="1">
      <alignment horizontal="left" vertical="top" wrapText="1"/>
      <protection locked="0"/>
    </xf>
    <xf numFmtId="0" fontId="68" fillId="0" borderId="43" xfId="0" applyFont="1" applyBorder="1" applyAlignment="1" applyProtection="1">
      <alignment horizontal="left" vertical="top" wrapText="1"/>
      <protection locked="0"/>
    </xf>
    <xf numFmtId="0" fontId="68" fillId="0" borderId="0" xfId="0" applyFont="1" applyAlignment="1" applyProtection="1">
      <alignment horizontal="left" vertical="top" wrapText="1"/>
      <protection locked="0"/>
    </xf>
    <xf numFmtId="0" fontId="68" fillId="0" borderId="44" xfId="0" applyFont="1" applyBorder="1" applyAlignment="1" applyProtection="1">
      <alignment horizontal="left" vertical="top" wrapText="1"/>
      <protection locked="0"/>
    </xf>
    <xf numFmtId="0" fontId="68" fillId="0" borderId="45" xfId="0" applyFont="1" applyBorder="1" applyAlignment="1" applyProtection="1">
      <alignment horizontal="left" vertical="top" wrapText="1"/>
      <protection locked="0"/>
    </xf>
    <xf numFmtId="0" fontId="68" fillId="0" borderId="35" xfId="0" applyFont="1" applyBorder="1" applyAlignment="1" applyProtection="1">
      <alignment horizontal="left" vertical="top" wrapText="1"/>
      <protection locked="0"/>
    </xf>
    <xf numFmtId="0" fontId="68" fillId="0" borderId="46" xfId="0" applyFont="1" applyBorder="1" applyAlignment="1" applyProtection="1">
      <alignment horizontal="left" vertical="top" wrapText="1"/>
      <protection locked="0"/>
    </xf>
    <xf numFmtId="0" fontId="8" fillId="0" borderId="37" xfId="1" applyNumberFormat="1" applyBorder="1" applyAlignment="1" applyProtection="1">
      <alignment horizontal="left"/>
      <protection locked="0" hidden="1"/>
    </xf>
    <xf numFmtId="0" fontId="68" fillId="0" borderId="38" xfId="0" applyFont="1" applyBorder="1" applyAlignment="1" applyProtection="1">
      <alignment horizontal="left"/>
      <protection locked="0" hidden="1"/>
    </xf>
    <xf numFmtId="0" fontId="68" fillId="0" borderId="39" xfId="0" applyFont="1" applyBorder="1" applyAlignment="1" applyProtection="1">
      <alignment horizontal="left"/>
      <protection locked="0" hidden="1"/>
    </xf>
    <xf numFmtId="0" fontId="68" fillId="0" borderId="37" xfId="0" applyFont="1" applyBorder="1" applyAlignment="1" applyProtection="1">
      <alignment horizontal="center"/>
      <protection locked="0"/>
    </xf>
    <xf numFmtId="0" fontId="68" fillId="0" borderId="38" xfId="0" applyFont="1" applyBorder="1" applyAlignment="1" applyProtection="1">
      <alignment horizontal="center"/>
      <protection locked="0"/>
    </xf>
    <xf numFmtId="0" fontId="68" fillId="0" borderId="39" xfId="0" applyFont="1" applyBorder="1" applyAlignment="1" applyProtection="1">
      <alignment horizontal="center"/>
      <protection locked="0"/>
    </xf>
    <xf numFmtId="0" fontId="68" fillId="4" borderId="37" xfId="0" applyFont="1" applyFill="1" applyBorder="1" applyAlignment="1" applyProtection="1">
      <alignment horizontal="left"/>
      <protection locked="0" hidden="1"/>
    </xf>
    <xf numFmtId="0" fontId="68" fillId="4" borderId="38" xfId="0" applyFont="1" applyFill="1" applyBorder="1" applyAlignment="1" applyProtection="1">
      <alignment horizontal="left"/>
      <protection locked="0" hidden="1"/>
    </xf>
    <xf numFmtId="0" fontId="68" fillId="4" borderId="39" xfId="0" applyFont="1" applyFill="1" applyBorder="1" applyAlignment="1" applyProtection="1">
      <alignment horizontal="left"/>
      <protection locked="0" hidden="1"/>
    </xf>
    <xf numFmtId="171" fontId="68" fillId="4" borderId="37" xfId="0" applyNumberFormat="1" applyFont="1" applyFill="1" applyBorder="1" applyAlignment="1" applyProtection="1">
      <alignment horizontal="left"/>
      <protection locked="0" hidden="1"/>
    </xf>
    <xf numFmtId="171" fontId="68" fillId="4" borderId="38" xfId="0" applyNumberFormat="1" applyFont="1" applyFill="1" applyBorder="1" applyAlignment="1" applyProtection="1">
      <alignment horizontal="left"/>
      <protection locked="0" hidden="1"/>
    </xf>
    <xf numFmtId="171" fontId="68" fillId="4" borderId="39" xfId="0" applyNumberFormat="1" applyFont="1" applyFill="1" applyBorder="1" applyAlignment="1" applyProtection="1">
      <alignment horizontal="left"/>
      <protection locked="0" hidden="1"/>
    </xf>
    <xf numFmtId="0" fontId="68" fillId="4" borderId="37" xfId="0" applyFont="1" applyFill="1" applyBorder="1" applyAlignment="1" applyProtection="1">
      <alignment horizontal="left"/>
      <protection locked="0"/>
    </xf>
    <xf numFmtId="0" fontId="68" fillId="4" borderId="38" xfId="0" applyFont="1" applyFill="1" applyBorder="1" applyAlignment="1" applyProtection="1">
      <alignment horizontal="left"/>
      <protection locked="0"/>
    </xf>
    <xf numFmtId="0" fontId="68" fillId="4" borderId="39" xfId="0" applyFont="1" applyFill="1" applyBorder="1" applyAlignment="1" applyProtection="1">
      <alignment horizontal="left"/>
      <protection locked="0"/>
    </xf>
    <xf numFmtId="0" fontId="68" fillId="5" borderId="37" xfId="0" applyFont="1" applyFill="1" applyBorder="1" applyAlignment="1" applyProtection="1">
      <alignment horizontal="left"/>
      <protection hidden="1"/>
    </xf>
    <xf numFmtId="0" fontId="68" fillId="5" borderId="38" xfId="0" applyFont="1" applyFill="1" applyBorder="1" applyAlignment="1" applyProtection="1">
      <alignment horizontal="left"/>
      <protection hidden="1"/>
    </xf>
    <xf numFmtId="0" fontId="68" fillId="5" borderId="39" xfId="0" applyFont="1" applyFill="1" applyBorder="1" applyAlignment="1" applyProtection="1">
      <alignment horizontal="left"/>
      <protection hidden="1"/>
    </xf>
    <xf numFmtId="175" fontId="68" fillId="5" borderId="37" xfId="0" applyNumberFormat="1" applyFont="1" applyFill="1" applyBorder="1" applyAlignment="1" applyProtection="1">
      <alignment horizontal="left"/>
      <protection locked="0" hidden="1"/>
    </xf>
    <xf numFmtId="175" fontId="68" fillId="5" borderId="38" xfId="0" applyNumberFormat="1" applyFont="1" applyFill="1" applyBorder="1" applyAlignment="1" applyProtection="1">
      <alignment horizontal="left"/>
      <protection locked="0" hidden="1"/>
    </xf>
    <xf numFmtId="175" fontId="68" fillId="5" borderId="39" xfId="0" applyNumberFormat="1" applyFont="1" applyFill="1" applyBorder="1" applyAlignment="1" applyProtection="1">
      <alignment horizontal="left"/>
      <protection locked="0" hidden="1"/>
    </xf>
    <xf numFmtId="3" fontId="68" fillId="0" borderId="37" xfId="0" applyNumberFormat="1" applyFont="1" applyBorder="1" applyAlignment="1" applyProtection="1">
      <alignment horizontal="left"/>
      <protection locked="0"/>
    </xf>
    <xf numFmtId="3" fontId="68" fillId="0" borderId="38" xfId="0" applyNumberFormat="1" applyFont="1" applyBorder="1" applyAlignment="1" applyProtection="1">
      <alignment horizontal="left"/>
      <protection locked="0"/>
    </xf>
    <xf numFmtId="3" fontId="68" fillId="0" borderId="39" xfId="0" applyNumberFormat="1" applyFont="1" applyBorder="1" applyAlignment="1" applyProtection="1">
      <alignment horizontal="left"/>
      <protection locked="0"/>
    </xf>
    <xf numFmtId="0" fontId="68" fillId="0" borderId="0" xfId="0" applyFont="1" applyAlignment="1">
      <alignment horizontal="left" vertical="top" wrapText="1"/>
    </xf>
    <xf numFmtId="0" fontId="68" fillId="0" borderId="151" xfId="0" applyFont="1" applyBorder="1" applyAlignment="1">
      <alignment horizontal="left"/>
    </xf>
    <xf numFmtId="166" fontId="68" fillId="0" borderId="37" xfId="0" applyNumberFormat="1" applyFont="1" applyBorder="1" applyAlignment="1" applyProtection="1">
      <alignment horizontal="left"/>
      <protection locked="0"/>
    </xf>
    <xf numFmtId="166" fontId="68" fillId="0" borderId="38" xfId="0" applyNumberFormat="1" applyFont="1" applyBorder="1" applyAlignment="1" applyProtection="1">
      <alignment horizontal="left"/>
      <protection locked="0"/>
    </xf>
    <xf numFmtId="166" fontId="68" fillId="0" borderId="39" xfId="0" applyNumberFormat="1" applyFont="1" applyBorder="1" applyAlignment="1" applyProtection="1">
      <alignment horizontal="left"/>
      <protection locked="0"/>
    </xf>
    <xf numFmtId="0" fontId="68" fillId="0" borderId="37" xfId="0" applyFont="1" applyBorder="1" applyAlignment="1" applyProtection="1">
      <alignment horizontal="left" shrinkToFit="1"/>
      <protection locked="0"/>
    </xf>
    <xf numFmtId="0" fontId="68" fillId="0" borderId="38" xfId="0" applyFont="1" applyBorder="1" applyAlignment="1" applyProtection="1">
      <alignment horizontal="left" shrinkToFit="1"/>
      <protection locked="0"/>
    </xf>
    <xf numFmtId="0" fontId="68" fillId="0" borderId="39" xfId="0" applyFont="1" applyBorder="1" applyAlignment="1" applyProtection="1">
      <alignment horizontal="left" shrinkToFit="1"/>
      <protection locked="0"/>
    </xf>
    <xf numFmtId="0" fontId="68" fillId="0" borderId="97" xfId="0" applyFont="1" applyBorder="1" applyAlignment="1">
      <alignment horizontal="center"/>
    </xf>
    <xf numFmtId="0" fontId="68" fillId="0" borderId="56" xfId="0" applyFont="1" applyBorder="1" applyAlignment="1">
      <alignment horizontal="center"/>
    </xf>
    <xf numFmtId="0" fontId="68" fillId="4" borderId="61" xfId="0" applyFont="1" applyFill="1" applyBorder="1" applyAlignment="1" applyProtection="1">
      <alignment horizontal="left" vertical="top" shrinkToFit="1"/>
      <protection locked="0"/>
    </xf>
    <xf numFmtId="0" fontId="68" fillId="4" borderId="61" xfId="0" applyFont="1" applyFill="1" applyBorder="1" applyAlignment="1" applyProtection="1">
      <alignment horizontal="left" vertical="top"/>
      <protection locked="0"/>
    </xf>
    <xf numFmtId="0" fontId="68" fillId="0" borderId="56" xfId="0" applyFont="1" applyBorder="1" applyAlignment="1" applyProtection="1">
      <alignment horizontal="left" vertical="top" wrapText="1"/>
      <protection locked="0"/>
    </xf>
    <xf numFmtId="0" fontId="68" fillId="0" borderId="57" xfId="0" applyFont="1" applyBorder="1" applyAlignment="1" applyProtection="1">
      <alignment horizontal="left" vertical="top" wrapText="1"/>
      <protection locked="0"/>
    </xf>
    <xf numFmtId="0" fontId="68" fillId="0" borderId="58" xfId="0" applyFont="1" applyBorder="1" applyAlignment="1" applyProtection="1">
      <alignment horizontal="left" vertical="top" wrapText="1"/>
      <protection locked="0"/>
    </xf>
    <xf numFmtId="0" fontId="68" fillId="0" borderId="59" xfId="0" applyFont="1" applyBorder="1" applyAlignment="1" applyProtection="1">
      <alignment horizontal="left" vertical="top" wrapText="1"/>
      <protection locked="0"/>
    </xf>
    <xf numFmtId="0" fontId="68" fillId="0" borderId="9" xfId="0" applyFont="1" applyBorder="1" applyAlignment="1" applyProtection="1">
      <alignment horizontal="left" vertical="top" wrapText="1"/>
      <protection locked="0"/>
    </xf>
    <xf numFmtId="0" fontId="68" fillId="0" borderId="60" xfId="0" applyFont="1" applyBorder="1" applyAlignment="1" applyProtection="1">
      <alignment horizontal="left" vertical="top" wrapText="1"/>
      <protection locked="0"/>
    </xf>
    <xf numFmtId="0" fontId="68" fillId="0" borderId="61" xfId="0" applyFont="1" applyBorder="1" applyAlignment="1" applyProtection="1">
      <alignment horizontal="left" vertical="top" wrapText="1"/>
      <protection locked="0"/>
    </xf>
    <xf numFmtId="0" fontId="68" fillId="0" borderId="62" xfId="0" applyFont="1" applyBorder="1" applyAlignment="1" applyProtection="1">
      <alignment horizontal="left" vertical="top" wrapText="1"/>
      <protection locked="0"/>
    </xf>
    <xf numFmtId="0" fontId="68" fillId="0" borderId="56" xfId="0" applyFont="1" applyBorder="1" applyAlignment="1" applyProtection="1">
      <alignment horizontal="center" vertical="top" wrapText="1"/>
      <protection locked="0"/>
    </xf>
    <xf numFmtId="0" fontId="68" fillId="0" borderId="57" xfId="0" applyFont="1" applyBorder="1" applyAlignment="1" applyProtection="1">
      <alignment horizontal="center" vertical="top" wrapText="1"/>
      <protection locked="0"/>
    </xf>
    <xf numFmtId="0" fontId="68" fillId="0" borderId="58" xfId="0" applyFont="1" applyBorder="1" applyAlignment="1" applyProtection="1">
      <alignment horizontal="center" vertical="top" wrapText="1"/>
      <protection locked="0"/>
    </xf>
    <xf numFmtId="0" fontId="68" fillId="0" borderId="59" xfId="0" applyFont="1" applyBorder="1" applyAlignment="1" applyProtection="1">
      <alignment horizontal="center" vertical="top" wrapText="1"/>
      <protection locked="0"/>
    </xf>
    <xf numFmtId="0" fontId="68" fillId="0" borderId="0" xfId="0" applyFont="1" applyAlignment="1" applyProtection="1">
      <alignment horizontal="center" vertical="top" wrapText="1"/>
      <protection locked="0"/>
    </xf>
    <xf numFmtId="0" fontId="68" fillId="0" borderId="9" xfId="0" applyFont="1" applyBorder="1" applyAlignment="1" applyProtection="1">
      <alignment horizontal="center" vertical="top" wrapText="1"/>
      <protection locked="0"/>
    </xf>
    <xf numFmtId="0" fontId="68" fillId="0" borderId="60" xfId="0" applyFont="1" applyBorder="1" applyAlignment="1" applyProtection="1">
      <alignment horizontal="center" vertical="top" wrapText="1"/>
      <protection locked="0"/>
    </xf>
    <xf numFmtId="0" fontId="68" fillId="0" borderId="61" xfId="0" applyFont="1" applyBorder="1" applyAlignment="1" applyProtection="1">
      <alignment horizontal="center" vertical="top" wrapText="1"/>
      <protection locked="0"/>
    </xf>
    <xf numFmtId="0" fontId="68" fillId="0" borderId="62" xfId="0" applyFont="1" applyBorder="1" applyAlignment="1" applyProtection="1">
      <alignment horizontal="center" vertical="top" wrapText="1"/>
      <protection locked="0"/>
    </xf>
    <xf numFmtId="0" fontId="68" fillId="4" borderId="61" xfId="0" applyFont="1" applyFill="1" applyBorder="1" applyAlignment="1" applyProtection="1">
      <alignment horizontal="left" vertical="top" shrinkToFit="1"/>
      <protection locked="0" hidden="1"/>
    </xf>
    <xf numFmtId="0" fontId="66" fillId="4" borderId="0" xfId="0" applyFont="1" applyFill="1"/>
    <xf numFmtId="14" fontId="68" fillId="0" borderId="61" xfId="0" applyNumberFormat="1" applyFont="1" applyBorder="1" applyAlignment="1" applyProtection="1">
      <alignment horizontal="center"/>
      <protection locked="0"/>
    </xf>
    <xf numFmtId="0" fontId="68" fillId="0" borderId="61" xfId="0" applyFont="1" applyBorder="1" applyAlignment="1" applyProtection="1">
      <alignment horizontal="center"/>
      <protection locked="0"/>
    </xf>
    <xf numFmtId="171" fontId="68" fillId="4" borderId="0" xfId="0" applyNumberFormat="1" applyFont="1" applyFill="1" applyAlignment="1">
      <alignment horizontal="left"/>
    </xf>
    <xf numFmtId="0" fontId="14" fillId="33" borderId="0" xfId="0" applyFont="1" applyFill="1" applyAlignment="1">
      <alignment horizontal="left" vertical="center" indent="1"/>
    </xf>
    <xf numFmtId="3" fontId="68" fillId="0" borderId="0" xfId="0" applyNumberFormat="1" applyFont="1" applyAlignment="1">
      <alignment horizontal="left"/>
    </xf>
    <xf numFmtId="0" fontId="68" fillId="0" borderId="0" xfId="0" applyFont="1"/>
    <xf numFmtId="0" fontId="68" fillId="0" borderId="187" xfId="0" applyFont="1" applyBorder="1" applyAlignment="1">
      <alignment horizontal="center"/>
    </xf>
    <xf numFmtId="0" fontId="68" fillId="0" borderId="156" xfId="0" applyFont="1" applyBorder="1" applyAlignment="1">
      <alignment horizontal="center"/>
    </xf>
    <xf numFmtId="0" fontId="68" fillId="0" borderId="58" xfId="0" applyFont="1" applyBorder="1" applyAlignment="1">
      <alignment horizontal="center"/>
    </xf>
    <xf numFmtId="0" fontId="68" fillId="0" borderId="188" xfId="0" applyFont="1" applyBorder="1" applyAlignment="1">
      <alignment horizontal="center"/>
    </xf>
    <xf numFmtId="0" fontId="74" fillId="0" borderId="198" xfId="0" applyFont="1" applyBorder="1" applyAlignment="1" applyProtection="1">
      <alignment horizontal="left" vertical="top" wrapText="1"/>
      <protection locked="0"/>
    </xf>
    <xf numFmtId="0" fontId="74" fillId="0" borderId="41" xfId="0" applyFont="1" applyBorder="1" applyAlignment="1" applyProtection="1">
      <alignment horizontal="left" vertical="top" wrapText="1"/>
      <protection locked="0"/>
    </xf>
    <xf numFmtId="0" fontId="74" fillId="0" borderId="199" xfId="0" applyFont="1" applyBorder="1" applyAlignment="1" applyProtection="1">
      <alignment horizontal="left" vertical="top" wrapText="1"/>
      <protection locked="0"/>
    </xf>
    <xf numFmtId="0" fontId="74" fillId="0" borderId="59"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9" xfId="0" applyFont="1" applyBorder="1" applyAlignment="1" applyProtection="1">
      <alignment horizontal="left" vertical="top" wrapText="1"/>
      <protection locked="0"/>
    </xf>
    <xf numFmtId="0" fontId="74" fillId="0" borderId="60" xfId="0" applyFont="1" applyBorder="1" applyAlignment="1" applyProtection="1">
      <alignment horizontal="left" vertical="top" wrapText="1"/>
      <protection locked="0"/>
    </xf>
    <xf numFmtId="0" fontId="74" fillId="0" borderId="61" xfId="0" applyFont="1" applyBorder="1" applyAlignment="1" applyProtection="1">
      <alignment horizontal="left" vertical="top" wrapText="1"/>
      <protection locked="0"/>
    </xf>
    <xf numFmtId="0" fontId="74" fillId="0" borderId="62" xfId="0" applyFont="1" applyBorder="1" applyAlignment="1" applyProtection="1">
      <alignment horizontal="left" vertical="top" wrapText="1"/>
      <protection locked="0"/>
    </xf>
    <xf numFmtId="0" fontId="68" fillId="0" borderId="37" xfId="0" applyFont="1" applyBorder="1" applyAlignment="1">
      <alignment horizontal="left"/>
    </xf>
    <xf numFmtId="0" fontId="68" fillId="0" borderId="38" xfId="0" applyFont="1" applyBorder="1" applyAlignment="1">
      <alignment horizontal="left"/>
    </xf>
    <xf numFmtId="0" fontId="68" fillId="0" borderId="39" xfId="0" applyFont="1" applyBorder="1" applyAlignment="1">
      <alignment horizontal="left"/>
    </xf>
    <xf numFmtId="0" fontId="68" fillId="4" borderId="0" xfId="0" applyFont="1" applyFill="1"/>
    <xf numFmtId="0" fontId="68" fillId="0" borderId="37" xfId="0" applyFont="1" applyBorder="1" applyAlignment="1" applyProtection="1">
      <alignment horizontal="center"/>
      <protection locked="0" hidden="1"/>
    </xf>
    <xf numFmtId="0" fontId="68" fillId="0" borderId="38" xfId="0" applyFont="1" applyBorder="1" applyAlignment="1" applyProtection="1">
      <alignment horizontal="center"/>
      <protection locked="0" hidden="1"/>
    </xf>
    <xf numFmtId="0" fontId="68" fillId="0" borderId="39" xfId="0" applyFont="1" applyBorder="1" applyAlignment="1" applyProtection="1">
      <alignment horizontal="center"/>
      <protection locked="0" hidden="1"/>
    </xf>
    <xf numFmtId="0" fontId="138" fillId="0" borderId="0" xfId="0" applyFont="1" applyAlignment="1">
      <alignment horizontal="left" vertical="center"/>
    </xf>
    <xf numFmtId="0" fontId="138" fillId="0" borderId="34" xfId="0" applyFont="1" applyBorder="1" applyAlignment="1">
      <alignment horizontal="left" vertical="center"/>
    </xf>
    <xf numFmtId="0" fontId="139" fillId="4" borderId="0" xfId="0" applyFont="1" applyFill="1" applyAlignment="1">
      <alignment horizontal="left" vertical="center"/>
    </xf>
    <xf numFmtId="14" fontId="68" fillId="0" borderId="0" xfId="0" applyNumberFormat="1" applyFont="1" applyAlignment="1" applyProtection="1">
      <alignment horizontal="center" shrinkToFit="1"/>
      <protection locked="0"/>
    </xf>
    <xf numFmtId="0" fontId="139" fillId="0" borderId="0" xfId="0" applyFont="1" applyAlignment="1">
      <alignment horizontal="right" vertical="center"/>
    </xf>
    <xf numFmtId="0" fontId="66" fillId="4" borderId="0" xfId="0" applyFont="1" applyFill="1" applyAlignment="1">
      <alignment horizontal="left"/>
    </xf>
    <xf numFmtId="0" fontId="68" fillId="38" borderId="0" xfId="0" applyFont="1" applyFill="1" applyAlignment="1">
      <alignment horizontal="center" vertical="center" wrapText="1"/>
    </xf>
    <xf numFmtId="0" fontId="79" fillId="0" borderId="0" xfId="1" applyFont="1" applyAlignment="1">
      <alignment horizontal="center" vertical="center" wrapText="1"/>
    </xf>
    <xf numFmtId="0" fontId="28" fillId="0" borderId="0" xfId="0" applyFont="1" applyAlignment="1" applyProtection="1">
      <alignment horizontal="center" vertical="top" wrapText="1"/>
      <protection hidden="1"/>
    </xf>
    <xf numFmtId="0" fontId="11" fillId="0" borderId="1" xfId="0" applyFont="1" applyBorder="1" applyAlignment="1" applyProtection="1">
      <alignment shrinkToFit="1"/>
      <protection locked="0"/>
    </xf>
    <xf numFmtId="0" fontId="11" fillId="0" borderId="1" xfId="0" applyFont="1" applyBorder="1" applyAlignment="1" applyProtection="1">
      <alignment horizontal="center"/>
      <protection locked="0"/>
    </xf>
    <xf numFmtId="0" fontId="11" fillId="0" borderId="1" xfId="0" applyFont="1" applyBorder="1" applyProtection="1">
      <protection locked="0"/>
    </xf>
    <xf numFmtId="182" fontId="11" fillId="5" borderId="1" xfId="15" applyNumberFormat="1" applyFont="1" applyFill="1" applyBorder="1" applyAlignment="1">
      <alignment horizontal="center"/>
    </xf>
    <xf numFmtId="176" fontId="11" fillId="0" borderId="1" xfId="0" applyNumberFormat="1" applyFont="1" applyBorder="1" applyAlignment="1" applyProtection="1">
      <alignment horizontal="center"/>
      <protection locked="0"/>
    </xf>
    <xf numFmtId="0" fontId="10" fillId="34" borderId="0" xfId="0" applyFont="1" applyFill="1" applyAlignment="1">
      <alignment horizontal="center" wrapText="1"/>
    </xf>
    <xf numFmtId="0" fontId="10" fillId="34" borderId="11" xfId="0" applyFont="1" applyFill="1" applyBorder="1" applyAlignment="1">
      <alignment horizontal="center" wrapText="1"/>
    </xf>
    <xf numFmtId="0" fontId="11" fillId="34" borderId="0" xfId="0" applyFont="1" applyFill="1" applyAlignment="1">
      <alignment horizontal="center" wrapText="1"/>
    </xf>
    <xf numFmtId="0" fontId="11" fillId="34" borderId="11" xfId="0" applyFont="1" applyFill="1" applyBorder="1" applyAlignment="1">
      <alignment horizontal="center" wrapText="1"/>
    </xf>
    <xf numFmtId="0" fontId="25" fillId="0" borderId="0" xfId="0" applyFont="1" applyAlignment="1">
      <alignment horizontal="center" wrapText="1"/>
    </xf>
    <xf numFmtId="167" fontId="13" fillId="0" borderId="74" xfId="0" applyNumberFormat="1" applyFont="1" applyBorder="1" applyAlignment="1">
      <alignment horizontal="center" shrinkToFit="1"/>
    </xf>
    <xf numFmtId="167" fontId="13" fillId="0" borderId="75" xfId="0" applyNumberFormat="1" applyFont="1" applyBorder="1" applyAlignment="1">
      <alignment horizontal="center" shrinkToFit="1"/>
    </xf>
    <xf numFmtId="167" fontId="126" fillId="0" borderId="0" xfId="0" applyNumberFormat="1" applyFont="1" applyAlignment="1">
      <alignment horizontal="center"/>
    </xf>
    <xf numFmtId="170" fontId="126" fillId="0" borderId="0" xfId="0" applyNumberFormat="1" applyFont="1" applyAlignment="1">
      <alignment horizontal="center"/>
    </xf>
    <xf numFmtId="0" fontId="11" fillId="0" borderId="0" xfId="0" applyFont="1" applyAlignment="1">
      <alignment horizontal="center" wrapText="1"/>
    </xf>
    <xf numFmtId="0" fontId="11" fillId="0" borderId="71" xfId="0" applyFont="1" applyBorder="1" applyAlignment="1">
      <alignment horizontal="center" wrapText="1"/>
    </xf>
    <xf numFmtId="0" fontId="66" fillId="0" borderId="0" xfId="0" applyFont="1" applyAlignment="1">
      <alignment horizontal="center" vertical="top" wrapText="1"/>
    </xf>
    <xf numFmtId="0" fontId="108" fillId="0" borderId="0" xfId="0" applyFont="1" applyAlignment="1">
      <alignment horizontal="center" wrapText="1"/>
    </xf>
    <xf numFmtId="0" fontId="108" fillId="0" borderId="71" xfId="0" applyFont="1" applyBorder="1" applyAlignment="1">
      <alignment horizontal="center" wrapText="1"/>
    </xf>
    <xf numFmtId="0" fontId="13" fillId="0" borderId="0" xfId="0" applyFont="1" applyAlignment="1">
      <alignment horizontal="center" wrapText="1"/>
    </xf>
    <xf numFmtId="0" fontId="13" fillId="0" borderId="71" xfId="0" applyFont="1" applyBorder="1" applyAlignment="1">
      <alignment horizontal="center" wrapText="1"/>
    </xf>
    <xf numFmtId="0" fontId="13" fillId="0" borderId="61" xfId="0" applyFont="1" applyBorder="1" applyAlignment="1">
      <alignment horizontal="center" wrapText="1"/>
    </xf>
    <xf numFmtId="0" fontId="13" fillId="0" borderId="98" xfId="0" applyFont="1" applyBorder="1" applyAlignment="1">
      <alignment horizontal="center" wrapText="1"/>
    </xf>
    <xf numFmtId="164" fontId="11" fillId="0" borderId="0" xfId="0" applyNumberFormat="1" applyFont="1" applyAlignment="1">
      <alignment horizontal="right" vertical="center"/>
    </xf>
    <xf numFmtId="183" fontId="108" fillId="0" borderId="74" xfId="0" applyNumberFormat="1" applyFont="1" applyBorder="1" applyAlignment="1" applyProtection="1">
      <alignment horizontal="center" shrinkToFit="1"/>
      <protection locked="0"/>
    </xf>
    <xf numFmtId="183" fontId="108" fillId="0" borderId="75" xfId="0" applyNumberFormat="1" applyFont="1" applyBorder="1" applyAlignment="1" applyProtection="1">
      <alignment horizontal="center" shrinkToFit="1"/>
      <protection locked="0"/>
    </xf>
    <xf numFmtId="0" fontId="108" fillId="17" borderId="62" xfId="0" applyFont="1" applyFill="1" applyBorder="1" applyAlignment="1">
      <alignment horizontal="center" wrapText="1"/>
    </xf>
    <xf numFmtId="0" fontId="108" fillId="17" borderId="74" xfId="0" applyFont="1" applyFill="1" applyBorder="1" applyAlignment="1">
      <alignment horizontal="center" wrapText="1"/>
    </xf>
    <xf numFmtId="0" fontId="108" fillId="17" borderId="119" xfId="0" applyFont="1" applyFill="1" applyBorder="1" applyAlignment="1">
      <alignment horizontal="center" wrapText="1"/>
    </xf>
    <xf numFmtId="0" fontId="108" fillId="17" borderId="75" xfId="0" applyFont="1" applyFill="1" applyBorder="1" applyAlignment="1">
      <alignment horizontal="center" wrapText="1"/>
    </xf>
    <xf numFmtId="2" fontId="108" fillId="5" borderId="62" xfId="0" applyNumberFormat="1" applyFont="1" applyFill="1" applyBorder="1" applyAlignment="1">
      <alignment horizontal="center" shrinkToFit="1"/>
    </xf>
    <xf numFmtId="2" fontId="108" fillId="5" borderId="74" xfId="0" applyNumberFormat="1" applyFont="1" applyFill="1" applyBorder="1" applyAlignment="1">
      <alignment horizontal="center" shrinkToFit="1"/>
    </xf>
    <xf numFmtId="2" fontId="108" fillId="5" borderId="119" xfId="0" applyNumberFormat="1" applyFont="1" applyFill="1" applyBorder="1" applyAlignment="1">
      <alignment horizontal="center" shrinkToFit="1"/>
    </xf>
    <xf numFmtId="2" fontId="108" fillId="5" borderId="75" xfId="0" applyNumberFormat="1" applyFont="1" applyFill="1" applyBorder="1" applyAlignment="1">
      <alignment horizontal="center" shrinkToFit="1"/>
    </xf>
    <xf numFmtId="3" fontId="108" fillId="5" borderId="75" xfId="0" applyNumberFormat="1" applyFont="1" applyFill="1" applyBorder="1" applyAlignment="1">
      <alignment horizontal="center" shrinkToFit="1"/>
    </xf>
    <xf numFmtId="3" fontId="108" fillId="5" borderId="118" xfId="0" applyNumberFormat="1" applyFont="1" applyFill="1" applyBorder="1" applyAlignment="1">
      <alignment horizontal="center" shrinkToFit="1"/>
    </xf>
    <xf numFmtId="3" fontId="108" fillId="0" borderId="74" xfId="0" applyNumberFormat="1" applyFont="1" applyBorder="1" applyAlignment="1" applyProtection="1">
      <alignment horizontal="center" shrinkToFit="1"/>
      <protection locked="0"/>
    </xf>
    <xf numFmtId="3" fontId="108" fillId="0" borderId="75" xfId="0" applyNumberFormat="1" applyFont="1" applyBorder="1" applyAlignment="1" applyProtection="1">
      <alignment horizontal="center" shrinkToFit="1"/>
      <protection locked="0"/>
    </xf>
    <xf numFmtId="0" fontId="13" fillId="0" borderId="74" xfId="0" applyFont="1" applyBorder="1" applyAlignment="1">
      <alignment horizontal="center" wrapText="1"/>
    </xf>
    <xf numFmtId="0" fontId="13" fillId="0" borderId="75" xfId="0" applyFont="1" applyBorder="1" applyAlignment="1">
      <alignment horizontal="center" wrapText="1"/>
    </xf>
    <xf numFmtId="167" fontId="108" fillId="0" borderId="74" xfId="0" applyNumberFormat="1" applyFont="1" applyBorder="1" applyAlignment="1" applyProtection="1">
      <alignment horizontal="center" shrinkToFit="1"/>
      <protection locked="0"/>
    </xf>
    <xf numFmtId="167" fontId="108" fillId="0" borderId="75" xfId="0" applyNumberFormat="1" applyFont="1" applyBorder="1" applyAlignment="1" applyProtection="1">
      <alignment horizontal="center" shrinkToFit="1"/>
      <protection locked="0"/>
    </xf>
    <xf numFmtId="167" fontId="108" fillId="0" borderId="74" xfId="0" applyNumberFormat="1" applyFont="1" applyBorder="1" applyAlignment="1" applyProtection="1">
      <alignment horizontal="center" shrinkToFit="1"/>
      <protection locked="0" hidden="1"/>
    </xf>
    <xf numFmtId="167" fontId="108" fillId="0" borderId="129" xfId="0" applyNumberFormat="1" applyFont="1" applyBorder="1" applyAlignment="1" applyProtection="1">
      <alignment horizontal="center" shrinkToFit="1"/>
      <protection locked="0" hidden="1"/>
    </xf>
    <xf numFmtId="167" fontId="108" fillId="0" borderId="75" xfId="0" applyNumberFormat="1" applyFont="1" applyBorder="1" applyAlignment="1" applyProtection="1">
      <alignment horizontal="center" shrinkToFit="1"/>
      <protection locked="0" hidden="1"/>
    </xf>
    <xf numFmtId="167" fontId="108" fillId="0" borderId="123" xfId="0" applyNumberFormat="1" applyFont="1" applyBorder="1" applyAlignment="1" applyProtection="1">
      <alignment horizontal="center" shrinkToFit="1"/>
      <protection locked="0" hidden="1"/>
    </xf>
    <xf numFmtId="167" fontId="109" fillId="5" borderId="62" xfId="0" applyNumberFormat="1" applyFont="1" applyFill="1" applyBorder="1" applyAlignment="1">
      <alignment horizontal="center" shrinkToFit="1"/>
    </xf>
    <xf numFmtId="167" fontId="109" fillId="5" borderId="74" xfId="0" applyNumberFormat="1" applyFont="1" applyFill="1" applyBorder="1" applyAlignment="1">
      <alignment horizontal="center" shrinkToFit="1"/>
    </xf>
    <xf numFmtId="167" fontId="109" fillId="5" borderId="119" xfId="0" applyNumberFormat="1" applyFont="1" applyFill="1" applyBorder="1" applyAlignment="1">
      <alignment horizontal="center" shrinkToFit="1"/>
    </xf>
    <xf numFmtId="167" fontId="109" fillId="5" borderId="75" xfId="0" applyNumberFormat="1" applyFont="1" applyFill="1" applyBorder="1" applyAlignment="1">
      <alignment horizontal="center" shrinkToFit="1"/>
    </xf>
    <xf numFmtId="0" fontId="68" fillId="0" borderId="0" xfId="0" applyFont="1" applyAlignment="1">
      <alignment horizontal="center" wrapText="1"/>
    </xf>
    <xf numFmtId="0" fontId="68" fillId="0" borderId="71" xfId="0" applyFont="1" applyBorder="1" applyAlignment="1">
      <alignment horizontal="center" wrapText="1"/>
    </xf>
    <xf numFmtId="0" fontId="13" fillId="19" borderId="74" xfId="0" applyFont="1" applyFill="1" applyBorder="1" applyAlignment="1">
      <alignment horizontal="center"/>
    </xf>
    <xf numFmtId="0" fontId="13" fillId="19" borderId="75" xfId="0" applyFont="1" applyFill="1" applyBorder="1" applyAlignment="1">
      <alignment horizontal="center"/>
    </xf>
    <xf numFmtId="170" fontId="109" fillId="5" borderId="74" xfId="0" applyNumberFormat="1" applyFont="1" applyFill="1" applyBorder="1" applyAlignment="1">
      <alignment horizontal="center" shrinkToFit="1"/>
    </xf>
    <xf numFmtId="170" fontId="109" fillId="5" borderId="75" xfId="0" applyNumberFormat="1" applyFont="1" applyFill="1" applyBorder="1" applyAlignment="1">
      <alignment horizontal="center" shrinkToFit="1"/>
    </xf>
    <xf numFmtId="167" fontId="109" fillId="5" borderId="74" xfId="0" applyNumberFormat="1" applyFont="1" applyFill="1" applyBorder="1" applyAlignment="1">
      <alignment horizontal="center" wrapText="1"/>
    </xf>
    <xf numFmtId="167" fontId="109" fillId="5" borderId="75" xfId="0" applyNumberFormat="1" applyFont="1" applyFill="1" applyBorder="1" applyAlignment="1">
      <alignment horizontal="center" wrapText="1"/>
    </xf>
    <xf numFmtId="2" fontId="13" fillId="0" borderId="74" xfId="0" applyNumberFormat="1" applyFont="1" applyBorder="1" applyAlignment="1">
      <alignment horizontal="center"/>
    </xf>
    <xf numFmtId="2" fontId="13" fillId="0" borderId="75" xfId="0" applyNumberFormat="1" applyFont="1" applyBorder="1" applyAlignment="1">
      <alignment horizontal="center"/>
    </xf>
    <xf numFmtId="172" fontId="13" fillId="0" borderId="74" xfId="0" applyNumberFormat="1" applyFont="1" applyBorder="1" applyAlignment="1">
      <alignment horizontal="center" shrinkToFit="1"/>
    </xf>
    <xf numFmtId="172" fontId="13" fillId="0" borderId="75" xfId="0" applyNumberFormat="1" applyFont="1" applyBorder="1" applyAlignment="1">
      <alignment horizontal="center" shrinkToFit="1"/>
    </xf>
    <xf numFmtId="167" fontId="13" fillId="0" borderId="74" xfId="0" applyNumberFormat="1" applyFont="1" applyBorder="1" applyAlignment="1">
      <alignment horizontal="center"/>
    </xf>
    <xf numFmtId="167" fontId="13" fillId="0" borderId="75" xfId="0" applyNumberFormat="1" applyFont="1" applyBorder="1" applyAlignment="1">
      <alignment horizontal="center"/>
    </xf>
    <xf numFmtId="9" fontId="13" fillId="0" borderId="74" xfId="6" applyFont="1" applyBorder="1" applyAlignment="1">
      <alignment horizontal="center" shrinkToFit="1"/>
    </xf>
    <xf numFmtId="9" fontId="13" fillId="0" borderId="75" xfId="6" applyFont="1" applyBorder="1" applyAlignment="1">
      <alignment horizontal="center" shrinkToFit="1"/>
    </xf>
    <xf numFmtId="0" fontId="13" fillId="0" borderId="74" xfId="0" applyFont="1" applyBorder="1" applyAlignment="1" applyProtection="1">
      <alignment horizontal="center"/>
      <protection locked="0"/>
    </xf>
    <xf numFmtId="0" fontId="13" fillId="0" borderId="75" xfId="0" applyFont="1" applyBorder="1" applyAlignment="1" applyProtection="1">
      <alignment horizontal="center"/>
      <protection locked="0"/>
    </xf>
    <xf numFmtId="0" fontId="13" fillId="0" borderId="74" xfId="0" applyFont="1" applyBorder="1" applyAlignment="1" applyProtection="1">
      <alignment horizontal="center" wrapText="1"/>
      <protection locked="0"/>
    </xf>
    <xf numFmtId="0" fontId="13" fillId="0" borderId="75" xfId="0" applyFont="1" applyBorder="1" applyAlignment="1" applyProtection="1">
      <alignment horizontal="center" wrapText="1"/>
      <protection locked="0"/>
    </xf>
    <xf numFmtId="172" fontId="0" fillId="0" borderId="97" xfId="0" applyNumberFormat="1" applyBorder="1" applyAlignment="1">
      <alignment horizontal="center"/>
    </xf>
    <xf numFmtId="172" fontId="0" fillId="0" borderId="74" xfId="0" applyNumberFormat="1" applyBorder="1" applyAlignment="1">
      <alignment horizontal="center"/>
    </xf>
    <xf numFmtId="0" fontId="13" fillId="0" borderId="74" xfId="0" applyFont="1" applyBorder="1" applyAlignment="1">
      <alignment horizontal="center" shrinkToFit="1"/>
    </xf>
    <xf numFmtId="0" fontId="13" fillId="0" borderId="75" xfId="0" applyFont="1" applyBorder="1" applyAlignment="1">
      <alignment horizontal="center" shrinkToFit="1"/>
    </xf>
    <xf numFmtId="172" fontId="0" fillId="0" borderId="97" xfId="0" applyNumberFormat="1" applyBorder="1" applyAlignment="1">
      <alignment horizontal="center" shrinkToFit="1"/>
    </xf>
    <xf numFmtId="172" fontId="0" fillId="0" borderId="74" xfId="0" applyNumberFormat="1" applyBorder="1" applyAlignment="1">
      <alignment horizontal="center" shrinkToFit="1"/>
    </xf>
    <xf numFmtId="167" fontId="13" fillId="0" borderId="74" xfId="0" applyNumberFormat="1" applyFont="1" applyBorder="1" applyAlignment="1" applyProtection="1">
      <alignment horizontal="center" shrinkToFit="1"/>
      <protection locked="0"/>
    </xf>
    <xf numFmtId="167" fontId="13" fillId="0" borderId="75" xfId="0" applyNumberFormat="1" applyFont="1" applyBorder="1" applyAlignment="1" applyProtection="1">
      <alignment horizontal="center" shrinkToFit="1"/>
      <protection locked="0"/>
    </xf>
    <xf numFmtId="167" fontId="66" fillId="11" borderId="1" xfId="0" applyNumberFormat="1" applyFont="1" applyFill="1" applyBorder="1" applyAlignment="1">
      <alignment horizontal="center" shrinkToFit="1"/>
    </xf>
    <xf numFmtId="0" fontId="68" fillId="0" borderId="1" xfId="0" applyFont="1" applyBorder="1" applyProtection="1">
      <protection locked="0"/>
    </xf>
    <xf numFmtId="176" fontId="68" fillId="0" borderId="1" xfId="0" applyNumberFormat="1" applyFont="1" applyBorder="1" applyAlignment="1" applyProtection="1">
      <alignment horizontal="center"/>
      <protection locked="0"/>
    </xf>
    <xf numFmtId="167" fontId="68" fillId="0" borderId="1" xfId="0" applyNumberFormat="1" applyFont="1" applyBorder="1" applyAlignment="1" applyProtection="1">
      <alignment horizontal="center" shrinkToFit="1"/>
      <protection locked="0"/>
    </xf>
    <xf numFmtId="0" fontId="68" fillId="0" borderId="15" xfId="0" applyFont="1" applyBorder="1" applyProtection="1">
      <protection locked="0"/>
    </xf>
    <xf numFmtId="0" fontId="68" fillId="0" borderId="20" xfId="0" applyFont="1" applyBorder="1" applyProtection="1">
      <protection locked="0"/>
    </xf>
    <xf numFmtId="0" fontId="68" fillId="0" borderId="2" xfId="0" applyFont="1" applyBorder="1" applyProtection="1">
      <protection locked="0"/>
    </xf>
    <xf numFmtId="176" fontId="68" fillId="0" borderId="15" xfId="0" applyNumberFormat="1" applyFont="1" applyBorder="1" applyAlignment="1" applyProtection="1">
      <alignment horizontal="center"/>
      <protection locked="0"/>
    </xf>
    <xf numFmtId="176" fontId="68" fillId="0" borderId="2" xfId="0" applyNumberFormat="1" applyFont="1" applyBorder="1" applyAlignment="1" applyProtection="1">
      <alignment horizontal="center"/>
      <protection locked="0"/>
    </xf>
    <xf numFmtId="0" fontId="10" fillId="0" borderId="0" xfId="0" applyFont="1" applyAlignment="1" applyProtection="1">
      <alignment horizontal="center"/>
      <protection hidden="1"/>
    </xf>
    <xf numFmtId="0" fontId="66" fillId="34" borderId="0" xfId="0" applyFont="1" applyFill="1" applyAlignment="1">
      <alignment horizontal="center" wrapText="1"/>
    </xf>
    <xf numFmtId="0" fontId="66" fillId="34" borderId="11" xfId="0" applyFont="1" applyFill="1" applyBorder="1" applyAlignment="1">
      <alignment horizontal="center" wrapText="1"/>
    </xf>
    <xf numFmtId="0" fontId="66" fillId="34" borderId="0" xfId="0" applyFont="1" applyFill="1" applyAlignment="1">
      <alignment horizontal="center"/>
    </xf>
    <xf numFmtId="0" fontId="66" fillId="34" borderId="11" xfId="0" applyFont="1" applyFill="1" applyBorder="1" applyAlignment="1">
      <alignment horizontal="center"/>
    </xf>
    <xf numFmtId="0" fontId="10" fillId="0" borderId="0" xfId="0" applyFont="1" applyAlignment="1">
      <alignment horizontal="center" wrapText="1"/>
    </xf>
    <xf numFmtId="0" fontId="10" fillId="0" borderId="11" xfId="0" applyFont="1" applyBorder="1" applyAlignment="1">
      <alignment horizontal="center" wrapText="1"/>
    </xf>
    <xf numFmtId="0" fontId="10" fillId="0" borderId="0" xfId="0" applyFont="1" applyAlignment="1">
      <alignment horizontal="center"/>
    </xf>
    <xf numFmtId="0" fontId="10" fillId="0" borderId="11" xfId="0" applyFont="1" applyBorder="1" applyAlignment="1">
      <alignment horizontal="center"/>
    </xf>
    <xf numFmtId="0" fontId="171" fillId="34" borderId="0" xfId="0" applyFont="1" applyFill="1" applyAlignment="1" applyProtection="1">
      <alignment horizontal="center"/>
      <protection hidden="1"/>
    </xf>
    <xf numFmtId="172" fontId="13" fillId="0" borderId="74" xfId="0" applyNumberFormat="1" applyFont="1" applyBorder="1" applyAlignment="1">
      <alignment horizontal="center"/>
    </xf>
    <xf numFmtId="172" fontId="13" fillId="0" borderId="75" xfId="0" applyNumberFormat="1" applyFont="1" applyBorder="1" applyAlignment="1">
      <alignment horizontal="center"/>
    </xf>
    <xf numFmtId="3" fontId="108" fillId="5" borderId="158" xfId="0" applyNumberFormat="1" applyFont="1" applyFill="1" applyBorder="1" applyAlignment="1">
      <alignment horizontal="center" shrinkToFit="1"/>
    </xf>
    <xf numFmtId="3" fontId="108" fillId="5" borderId="119" xfId="0" applyNumberFormat="1" applyFont="1" applyFill="1" applyBorder="1" applyAlignment="1">
      <alignment horizontal="center" shrinkToFit="1"/>
    </xf>
    <xf numFmtId="167" fontId="108" fillId="5" borderId="75" xfId="0" applyNumberFormat="1" applyFont="1" applyFill="1" applyBorder="1" applyAlignment="1">
      <alignment horizontal="center" shrinkToFit="1"/>
    </xf>
    <xf numFmtId="167" fontId="108" fillId="5" borderId="75" xfId="0" applyNumberFormat="1" applyFont="1" applyFill="1" applyBorder="1" applyAlignment="1" applyProtection="1">
      <alignment horizontal="center" shrinkToFit="1"/>
      <protection hidden="1"/>
    </xf>
    <xf numFmtId="167" fontId="108" fillId="5" borderId="118" xfId="0" applyNumberFormat="1" applyFont="1" applyFill="1" applyBorder="1" applyAlignment="1" applyProtection="1">
      <alignment horizontal="center" shrinkToFit="1"/>
      <protection hidden="1"/>
    </xf>
    <xf numFmtId="167" fontId="109" fillId="5" borderId="122" xfId="0" applyNumberFormat="1" applyFont="1" applyFill="1" applyBorder="1" applyAlignment="1">
      <alignment horizontal="center" shrinkToFit="1"/>
    </xf>
    <xf numFmtId="0" fontId="108" fillId="17" borderId="118" xfId="0" applyFont="1" applyFill="1" applyBorder="1" applyAlignment="1">
      <alignment horizontal="center" wrapText="1"/>
    </xf>
    <xf numFmtId="0" fontId="108" fillId="17" borderId="158" xfId="0" applyFont="1" applyFill="1" applyBorder="1" applyAlignment="1">
      <alignment horizontal="center" wrapText="1"/>
    </xf>
    <xf numFmtId="0" fontId="108" fillId="0" borderId="118" xfId="0" applyFont="1" applyBorder="1" applyAlignment="1" applyProtection="1">
      <alignment horizontal="center" wrapText="1"/>
      <protection locked="0"/>
    </xf>
    <xf numFmtId="0" fontId="108" fillId="0" borderId="158" xfId="0" applyFont="1" applyBorder="1" applyAlignment="1" applyProtection="1">
      <alignment horizontal="center" wrapText="1"/>
      <protection locked="0"/>
    </xf>
    <xf numFmtId="0" fontId="108" fillId="0" borderId="119" xfId="0" applyFont="1" applyBorder="1" applyAlignment="1" applyProtection="1">
      <alignment horizontal="center" wrapText="1"/>
      <protection locked="0"/>
    </xf>
    <xf numFmtId="183" fontId="108" fillId="0" borderId="97" xfId="0" applyNumberFormat="1" applyFont="1" applyBorder="1" applyAlignment="1" applyProtection="1">
      <alignment horizontal="center" shrinkToFit="1"/>
      <protection locked="0"/>
    </xf>
    <xf numFmtId="0" fontId="108" fillId="0" borderId="59" xfId="0" applyFont="1" applyBorder="1" applyAlignment="1" applyProtection="1">
      <alignment horizontal="center" wrapText="1"/>
      <protection locked="0"/>
    </xf>
    <xf numFmtId="0" fontId="108" fillId="0" borderId="0" xfId="0" applyFont="1" applyAlignment="1" applyProtection="1">
      <alignment horizontal="center" wrapText="1"/>
      <protection locked="0"/>
    </xf>
    <xf numFmtId="0" fontId="108" fillId="0" borderId="9" xfId="0" applyFont="1" applyBorder="1" applyAlignment="1" applyProtection="1">
      <alignment horizontal="center" wrapText="1"/>
      <protection locked="0"/>
    </xf>
    <xf numFmtId="0" fontId="108" fillId="17" borderId="60" xfId="0" applyFont="1" applyFill="1" applyBorder="1" applyAlignment="1">
      <alignment horizontal="center" wrapText="1"/>
    </xf>
    <xf numFmtId="0" fontId="108" fillId="17" borderId="61" xfId="0" applyFont="1" applyFill="1" applyBorder="1" applyAlignment="1">
      <alignment horizontal="center" wrapText="1"/>
    </xf>
    <xf numFmtId="183" fontId="108" fillId="0" borderId="150" xfId="0" applyNumberFormat="1" applyFont="1" applyBorder="1" applyAlignment="1" applyProtection="1">
      <alignment horizontal="center" shrinkToFit="1"/>
      <protection locked="0"/>
    </xf>
    <xf numFmtId="3" fontId="108" fillId="0" borderId="97" xfId="0" applyNumberFormat="1" applyFont="1" applyBorder="1" applyAlignment="1" applyProtection="1">
      <alignment horizontal="center" shrinkToFit="1"/>
      <protection locked="0"/>
    </xf>
    <xf numFmtId="167" fontId="109" fillId="5" borderId="121" xfId="0" applyNumberFormat="1" applyFont="1" applyFill="1" applyBorder="1" applyAlignment="1">
      <alignment horizontal="center" shrinkToFit="1"/>
    </xf>
    <xf numFmtId="167" fontId="109" fillId="5" borderId="120" xfId="0" applyNumberFormat="1" applyFont="1" applyFill="1" applyBorder="1" applyAlignment="1">
      <alignment horizontal="center" shrinkToFit="1"/>
    </xf>
    <xf numFmtId="167" fontId="109" fillId="5" borderId="200" xfId="0" applyNumberFormat="1" applyFont="1" applyFill="1" applyBorder="1" applyAlignment="1">
      <alignment horizontal="center" shrinkToFit="1"/>
    </xf>
    <xf numFmtId="167" fontId="109" fillId="5" borderId="97" xfId="0" applyNumberFormat="1" applyFont="1" applyFill="1" applyBorder="1" applyAlignment="1">
      <alignment horizontal="center" shrinkToFit="1"/>
    </xf>
    <xf numFmtId="3" fontId="108" fillId="5" borderId="141" xfId="0" applyNumberFormat="1" applyFont="1" applyFill="1" applyBorder="1" applyAlignment="1">
      <alignment horizontal="center" shrinkToFit="1"/>
    </xf>
    <xf numFmtId="3" fontId="108" fillId="5" borderId="99" xfId="0" applyNumberFormat="1" applyFont="1" applyFill="1" applyBorder="1" applyAlignment="1">
      <alignment horizontal="center" shrinkToFit="1"/>
    </xf>
    <xf numFmtId="3" fontId="108" fillId="5" borderId="142" xfId="0" applyNumberFormat="1" applyFont="1" applyFill="1" applyBorder="1" applyAlignment="1">
      <alignment horizontal="center" shrinkToFit="1"/>
    </xf>
    <xf numFmtId="3" fontId="108" fillId="5" borderId="59" xfId="0" applyNumberFormat="1" applyFont="1" applyFill="1" applyBorder="1" applyAlignment="1">
      <alignment horizontal="center" shrinkToFit="1"/>
    </xf>
    <xf numFmtId="3" fontId="108" fillId="5" borderId="0" xfId="0" applyNumberFormat="1" applyFont="1" applyFill="1" applyAlignment="1">
      <alignment horizontal="center" shrinkToFit="1"/>
    </xf>
    <xf numFmtId="3" fontId="108" fillId="5" borderId="9" xfId="0" applyNumberFormat="1" applyFont="1" applyFill="1" applyBorder="1" applyAlignment="1">
      <alignment horizontal="center" shrinkToFit="1"/>
    </xf>
    <xf numFmtId="2" fontId="108" fillId="5" borderId="120" xfId="0" applyNumberFormat="1" applyFont="1" applyFill="1" applyBorder="1" applyAlignment="1">
      <alignment horizontal="center" shrinkToFit="1"/>
    </xf>
    <xf numFmtId="2" fontId="108" fillId="5" borderId="97" xfId="0" applyNumberFormat="1" applyFont="1" applyFill="1" applyBorder="1" applyAlignment="1">
      <alignment horizontal="center" shrinkToFit="1"/>
    </xf>
    <xf numFmtId="3" fontId="108" fillId="5" borderId="160" xfId="0" applyNumberFormat="1" applyFont="1" applyFill="1" applyBorder="1" applyAlignment="1">
      <alignment horizontal="center" shrinkToFit="1"/>
    </xf>
    <xf numFmtId="3" fontId="108" fillId="5" borderId="150" xfId="0" applyNumberFormat="1" applyFont="1" applyFill="1" applyBorder="1" applyAlignment="1">
      <alignment horizontal="center" shrinkToFit="1"/>
    </xf>
    <xf numFmtId="167" fontId="108" fillId="5" borderId="120" xfId="0" applyNumberFormat="1" applyFont="1" applyFill="1" applyBorder="1" applyAlignment="1">
      <alignment horizontal="center" shrinkToFit="1"/>
    </xf>
    <xf numFmtId="167" fontId="108" fillId="5" borderId="97" xfId="0" applyNumberFormat="1" applyFont="1" applyFill="1" applyBorder="1" applyAlignment="1">
      <alignment horizontal="center" shrinkToFit="1"/>
    </xf>
    <xf numFmtId="3" fontId="108" fillId="0" borderId="120" xfId="0" applyNumberFormat="1" applyFont="1" applyBorder="1" applyAlignment="1" applyProtection="1">
      <alignment horizontal="center" shrinkToFit="1"/>
      <protection locked="0"/>
    </xf>
    <xf numFmtId="183" fontId="108" fillId="0" borderId="160" xfId="0" applyNumberFormat="1" applyFont="1" applyBorder="1" applyAlignment="1" applyProtection="1">
      <alignment horizontal="center" shrinkToFit="1"/>
      <protection locked="0"/>
    </xf>
    <xf numFmtId="167" fontId="108" fillId="5" borderId="120" xfId="0" applyNumberFormat="1" applyFont="1" applyFill="1" applyBorder="1" applyAlignment="1" applyProtection="1">
      <alignment horizontal="center" shrinkToFit="1"/>
      <protection hidden="1"/>
    </xf>
    <xf numFmtId="167" fontId="108" fillId="5" borderId="161" xfId="0" applyNumberFormat="1" applyFont="1" applyFill="1" applyBorder="1" applyAlignment="1" applyProtection="1">
      <alignment horizontal="center" shrinkToFit="1"/>
      <protection hidden="1"/>
    </xf>
    <xf numFmtId="167" fontId="108" fillId="5" borderId="97" xfId="0" applyNumberFormat="1" applyFont="1" applyFill="1" applyBorder="1" applyAlignment="1" applyProtection="1">
      <alignment horizontal="center" shrinkToFit="1"/>
      <protection hidden="1"/>
    </xf>
    <xf numFmtId="167" fontId="108" fillId="5" borderId="56" xfId="0" applyNumberFormat="1" applyFont="1" applyFill="1" applyBorder="1" applyAlignment="1" applyProtection="1">
      <alignment horizontal="center" shrinkToFit="1"/>
      <protection hidden="1"/>
    </xf>
    <xf numFmtId="170" fontId="109" fillId="5" borderId="120" xfId="0" applyNumberFormat="1" applyFont="1" applyFill="1" applyBorder="1" applyAlignment="1">
      <alignment horizontal="center" shrinkToFit="1"/>
    </xf>
    <xf numFmtId="170" fontId="109" fillId="5" borderId="97" xfId="0" applyNumberFormat="1" applyFont="1" applyFill="1" applyBorder="1" applyAlignment="1">
      <alignment horizontal="center" shrinkToFit="1"/>
    </xf>
    <xf numFmtId="167" fontId="109" fillId="5" borderId="120" xfId="0" applyNumberFormat="1" applyFont="1" applyFill="1" applyBorder="1" applyAlignment="1">
      <alignment horizontal="center" wrapText="1"/>
    </xf>
    <xf numFmtId="167" fontId="109" fillId="5" borderId="97" xfId="0" applyNumberFormat="1" applyFont="1" applyFill="1" applyBorder="1" applyAlignment="1">
      <alignment horizontal="center" wrapText="1"/>
    </xf>
    <xf numFmtId="0" fontId="108" fillId="0" borderId="0" xfId="0" applyFont="1" applyAlignment="1">
      <alignment horizontal="center"/>
    </xf>
    <xf numFmtId="0" fontId="108" fillId="0" borderId="71" xfId="0" applyFont="1" applyBorder="1" applyAlignment="1">
      <alignment horizontal="center"/>
    </xf>
    <xf numFmtId="0" fontId="180" fillId="0" borderId="0" xfId="0" applyFont="1" applyAlignment="1">
      <alignment horizontal="center"/>
    </xf>
    <xf numFmtId="0" fontId="118" fillId="0" borderId="71" xfId="0" applyFont="1" applyBorder="1" applyAlignment="1">
      <alignment horizontal="center"/>
    </xf>
    <xf numFmtId="0" fontId="83" fillId="37" borderId="36" xfId="1" applyFont="1" applyFill="1" applyBorder="1" applyAlignment="1" applyProtection="1">
      <alignment horizontal="center" vertical="center" wrapText="1"/>
      <protection hidden="1"/>
    </xf>
    <xf numFmtId="0" fontId="83" fillId="37" borderId="0" xfId="1" applyFont="1" applyFill="1" applyBorder="1" applyAlignment="1" applyProtection="1">
      <alignment horizontal="center" vertical="center" wrapText="1"/>
      <protection hidden="1"/>
    </xf>
    <xf numFmtId="0" fontId="14" fillId="71" borderId="36" xfId="0" applyFont="1" applyFill="1" applyBorder="1" applyAlignment="1" applyProtection="1">
      <alignment horizontal="center" vertical="center" wrapText="1"/>
      <protection hidden="1"/>
    </xf>
    <xf numFmtId="0" fontId="177" fillId="71" borderId="36" xfId="0" applyFont="1" applyFill="1" applyBorder="1" applyAlignment="1" applyProtection="1">
      <alignment horizontal="center" vertical="center" wrapText="1"/>
      <protection hidden="1"/>
    </xf>
    <xf numFmtId="0" fontId="177" fillId="71" borderId="0" xfId="0" applyFont="1" applyFill="1" applyAlignment="1" applyProtection="1">
      <alignment horizontal="center" vertical="center" wrapText="1"/>
      <protection hidden="1"/>
    </xf>
    <xf numFmtId="0" fontId="123" fillId="16" borderId="36" xfId="0" applyFont="1" applyFill="1" applyBorder="1" applyAlignment="1" applyProtection="1">
      <alignment horizontal="center" vertical="center" wrapText="1"/>
      <protection hidden="1"/>
    </xf>
    <xf numFmtId="0" fontId="124" fillId="16" borderId="36" xfId="0" applyFont="1" applyFill="1" applyBorder="1" applyAlignment="1" applyProtection="1">
      <alignment horizontal="center" vertical="center" wrapText="1"/>
      <protection hidden="1"/>
    </xf>
    <xf numFmtId="0" fontId="124" fillId="16" borderId="0" xfId="0" applyFont="1" applyFill="1" applyAlignment="1" applyProtection="1">
      <alignment horizontal="center" vertical="center" wrapText="1"/>
      <protection hidden="1"/>
    </xf>
    <xf numFmtId="0" fontId="25" fillId="0" borderId="0" xfId="0" applyFont="1" applyAlignment="1">
      <alignment horizontal="center" vertical="top" wrapText="1"/>
    </xf>
    <xf numFmtId="0" fontId="108" fillId="0" borderId="143" xfId="0" applyFont="1" applyBorder="1" applyAlignment="1" applyProtection="1">
      <alignment horizontal="center" wrapText="1"/>
      <protection locked="0"/>
    </xf>
    <xf numFmtId="0" fontId="108" fillId="0" borderId="225" xfId="0" applyFont="1" applyBorder="1" applyAlignment="1" applyProtection="1">
      <alignment horizontal="center" wrapText="1"/>
      <protection locked="0"/>
    </xf>
    <xf numFmtId="0" fontId="108" fillId="0" borderId="100" xfId="0" applyFont="1" applyBorder="1" applyAlignment="1" applyProtection="1">
      <alignment horizontal="center" wrapText="1"/>
      <protection locked="0"/>
    </xf>
    <xf numFmtId="0" fontId="108" fillId="0" borderId="101" xfId="0" applyFont="1" applyBorder="1" applyAlignment="1" applyProtection="1">
      <alignment horizontal="center" wrapText="1"/>
      <protection locked="0"/>
    </xf>
    <xf numFmtId="0" fontId="108" fillId="0" borderId="146" xfId="0" applyFont="1" applyBorder="1" applyAlignment="1" applyProtection="1">
      <alignment horizontal="center" wrapText="1"/>
      <protection locked="0"/>
    </xf>
    <xf numFmtId="0" fontId="108" fillId="11" borderId="212" xfId="0" applyFont="1" applyFill="1" applyBorder="1" applyAlignment="1" applyProtection="1">
      <alignment horizontal="center" wrapText="1"/>
      <protection hidden="1"/>
    </xf>
    <xf numFmtId="0" fontId="108" fillId="11" borderId="196" xfId="0" applyFont="1" applyFill="1" applyBorder="1" applyAlignment="1" applyProtection="1">
      <alignment horizontal="center" wrapText="1"/>
      <protection hidden="1"/>
    </xf>
    <xf numFmtId="0" fontId="108" fillId="11" borderId="211" xfId="0" applyFont="1" applyFill="1" applyBorder="1" applyAlignment="1" applyProtection="1">
      <alignment horizontal="center" wrapText="1"/>
      <protection hidden="1"/>
    </xf>
    <xf numFmtId="0" fontId="108" fillId="11" borderId="195" xfId="0" applyFont="1" applyFill="1" applyBorder="1" applyAlignment="1" applyProtection="1">
      <alignment horizontal="center" wrapText="1"/>
      <protection hidden="1"/>
    </xf>
    <xf numFmtId="169" fontId="108" fillId="11" borderId="196" xfId="0" applyNumberFormat="1" applyFont="1" applyFill="1" applyBorder="1" applyAlignment="1" applyProtection="1">
      <alignment horizontal="center" shrinkToFit="1"/>
      <protection hidden="1"/>
    </xf>
    <xf numFmtId="169" fontId="108" fillId="11" borderId="195" xfId="0" applyNumberFormat="1" applyFont="1" applyFill="1" applyBorder="1" applyAlignment="1" applyProtection="1">
      <alignment horizontal="center" shrinkToFit="1"/>
      <protection hidden="1"/>
    </xf>
    <xf numFmtId="169" fontId="108" fillId="0" borderId="100" xfId="0" applyNumberFormat="1" applyFont="1" applyBorder="1" applyAlignment="1" applyProtection="1">
      <alignment horizontal="center" shrinkToFit="1"/>
      <protection locked="0"/>
    </xf>
    <xf numFmtId="169" fontId="108" fillId="0" borderId="146" xfId="0" applyNumberFormat="1" applyFont="1" applyBorder="1" applyAlignment="1" applyProtection="1">
      <alignment horizontal="center" shrinkToFit="1"/>
      <protection locked="0"/>
    </xf>
    <xf numFmtId="169" fontId="108" fillId="0" borderId="106" xfId="0" applyNumberFormat="1" applyFont="1" applyBorder="1" applyAlignment="1" applyProtection="1">
      <alignment horizontal="center" shrinkToFit="1"/>
      <protection locked="0"/>
    </xf>
    <xf numFmtId="169" fontId="108" fillId="0" borderId="205" xfId="0" applyNumberFormat="1" applyFont="1" applyBorder="1" applyAlignment="1" applyProtection="1">
      <alignment horizontal="center" shrinkToFit="1"/>
      <protection locked="0"/>
    </xf>
    <xf numFmtId="169" fontId="108" fillId="0" borderId="75" xfId="0" applyNumberFormat="1" applyFont="1" applyBorder="1" applyAlignment="1" applyProtection="1">
      <alignment horizontal="center" shrinkToFit="1"/>
      <protection locked="0" hidden="1"/>
    </xf>
    <xf numFmtId="169" fontId="108" fillId="0" borderId="123" xfId="0" applyNumberFormat="1" applyFont="1" applyBorder="1" applyAlignment="1" applyProtection="1">
      <alignment horizontal="center" shrinkToFit="1"/>
      <protection locked="0" hidden="1"/>
    </xf>
    <xf numFmtId="169" fontId="108" fillId="0" borderId="159" xfId="0" applyNumberFormat="1" applyFont="1" applyBorder="1" applyAlignment="1" applyProtection="1">
      <alignment horizontal="center" shrinkToFit="1"/>
      <protection locked="0" hidden="1"/>
    </xf>
    <xf numFmtId="169" fontId="108" fillId="0" borderId="213" xfId="0" applyNumberFormat="1" applyFont="1" applyBorder="1" applyAlignment="1" applyProtection="1">
      <alignment horizontal="center" shrinkToFit="1"/>
      <protection locked="0" hidden="1"/>
    </xf>
    <xf numFmtId="185" fontId="108" fillId="0" borderId="102" xfId="0" applyNumberFormat="1" applyFont="1" applyBorder="1" applyAlignment="1" applyProtection="1">
      <alignment horizontal="center" shrinkToFit="1"/>
      <protection locked="0"/>
    </xf>
    <xf numFmtId="185" fontId="108" fillId="0" borderId="70" xfId="0" applyNumberFormat="1" applyFont="1" applyBorder="1" applyAlignment="1" applyProtection="1">
      <alignment horizontal="center" shrinkToFit="1"/>
      <protection locked="0"/>
    </xf>
    <xf numFmtId="185" fontId="108" fillId="0" borderId="107" xfId="0" applyNumberFormat="1" applyFont="1" applyBorder="1" applyAlignment="1" applyProtection="1">
      <alignment horizontal="center" shrinkToFit="1"/>
      <protection locked="0"/>
    </xf>
    <xf numFmtId="185" fontId="108" fillId="0" borderId="69" xfId="0" applyNumberFormat="1" applyFont="1" applyBorder="1" applyAlignment="1" applyProtection="1">
      <alignment horizontal="center" shrinkToFit="1"/>
      <protection locked="0"/>
    </xf>
    <xf numFmtId="0" fontId="118" fillId="0" borderId="71" xfId="0" applyFont="1" applyBorder="1" applyAlignment="1">
      <alignment horizontal="center" shrinkToFit="1"/>
    </xf>
    <xf numFmtId="0" fontId="11" fillId="0" borderId="0" xfId="0" applyFont="1" applyAlignment="1">
      <alignment horizontal="center"/>
    </xf>
    <xf numFmtId="1" fontId="13" fillId="0" borderId="74" xfId="0" applyNumberFormat="1" applyFont="1" applyBorder="1" applyAlignment="1" applyProtection="1">
      <alignment horizontal="center" shrinkToFit="1"/>
      <protection locked="0"/>
    </xf>
    <xf numFmtId="1" fontId="13" fillId="0" borderId="75" xfId="0" applyNumberFormat="1" applyFont="1" applyBorder="1" applyAlignment="1" applyProtection="1">
      <alignment horizontal="center" shrinkToFit="1"/>
      <protection locked="0"/>
    </xf>
    <xf numFmtId="0" fontId="0" fillId="20" borderId="70" xfId="0" applyFill="1" applyBorder="1" applyAlignment="1">
      <alignment horizontal="center"/>
    </xf>
    <xf numFmtId="0" fontId="0" fillId="20" borderId="69" xfId="0" applyFill="1" applyBorder="1" applyAlignment="1">
      <alignment horizontal="center"/>
    </xf>
    <xf numFmtId="0" fontId="11" fillId="0" borderId="70" xfId="0" applyFont="1" applyBorder="1" applyAlignment="1" applyProtection="1">
      <alignment horizontal="center" shrinkToFit="1"/>
      <protection locked="0"/>
    </xf>
    <xf numFmtId="0" fontId="11" fillId="0" borderId="69" xfId="0" applyFont="1" applyBorder="1" applyAlignment="1" applyProtection="1">
      <alignment horizontal="center" shrinkToFit="1"/>
      <protection locked="0"/>
    </xf>
    <xf numFmtId="172" fontId="0" fillId="0" borderId="70" xfId="0" applyNumberFormat="1" applyBorder="1" applyAlignment="1">
      <alignment horizontal="center" shrinkToFit="1"/>
    </xf>
    <xf numFmtId="172" fontId="0" fillId="0" borderId="69" xfId="0" applyNumberFormat="1" applyBorder="1" applyAlignment="1">
      <alignment horizontal="center" shrinkToFit="1"/>
    </xf>
    <xf numFmtId="0" fontId="11" fillId="0" borderId="70" xfId="0" applyFont="1" applyBorder="1" applyAlignment="1">
      <alignment horizontal="center" shrinkToFit="1"/>
    </xf>
    <xf numFmtId="0" fontId="11" fillId="0" borderId="69" xfId="0" applyFont="1" applyBorder="1" applyAlignment="1">
      <alignment horizontal="center" shrinkToFit="1"/>
    </xf>
    <xf numFmtId="167" fontId="109" fillId="11" borderId="70" xfId="0" applyNumberFormat="1" applyFont="1" applyFill="1" applyBorder="1" applyAlignment="1">
      <alignment horizontal="center" wrapText="1"/>
    </xf>
    <xf numFmtId="167" fontId="109" fillId="11" borderId="69" xfId="0" applyNumberFormat="1" applyFont="1" applyFill="1" applyBorder="1" applyAlignment="1">
      <alignment horizontal="center" wrapText="1"/>
    </xf>
    <xf numFmtId="167" fontId="11" fillId="0" borderId="59" xfId="0" applyNumberFormat="1" applyFont="1" applyBorder="1" applyAlignment="1" applyProtection="1">
      <alignment horizontal="center" shrinkToFit="1"/>
      <protection locked="0"/>
    </xf>
    <xf numFmtId="167" fontId="11" fillId="0" borderId="60" xfId="0" applyNumberFormat="1" applyFont="1" applyBorder="1" applyAlignment="1" applyProtection="1">
      <alignment horizontal="center" shrinkToFit="1"/>
      <protection locked="0"/>
    </xf>
    <xf numFmtId="0" fontId="119" fillId="0" borderId="70" xfId="0" applyFont="1" applyBorder="1" applyAlignment="1">
      <alignment horizontal="center" wrapText="1"/>
    </xf>
    <xf numFmtId="0" fontId="119" fillId="0" borderId="69" xfId="0" applyFont="1" applyBorder="1" applyAlignment="1">
      <alignment horizontal="center" wrapText="1"/>
    </xf>
    <xf numFmtId="172" fontId="11" fillId="0" borderId="70" xfId="0" applyNumberFormat="1" applyFont="1" applyBorder="1" applyAlignment="1">
      <alignment horizontal="center" shrinkToFit="1"/>
    </xf>
    <xf numFmtId="172" fontId="11" fillId="0" borderId="69" xfId="0" applyNumberFormat="1" applyFont="1" applyBorder="1" applyAlignment="1">
      <alignment horizontal="center" shrinkToFit="1"/>
    </xf>
    <xf numFmtId="167" fontId="108" fillId="0" borderId="102" xfId="0" applyNumberFormat="1" applyFont="1" applyBorder="1" applyAlignment="1" applyProtection="1">
      <alignment horizontal="center" shrinkToFit="1"/>
      <protection locked="0"/>
    </xf>
    <xf numFmtId="167" fontId="108" fillId="0" borderId="70" xfId="0" applyNumberFormat="1" applyFont="1" applyBorder="1" applyAlignment="1" applyProtection="1">
      <alignment horizontal="center" shrinkToFit="1"/>
      <protection locked="0"/>
    </xf>
    <xf numFmtId="167" fontId="108" fillId="0" borderId="107" xfId="0" applyNumberFormat="1" applyFont="1" applyBorder="1" applyAlignment="1" applyProtection="1">
      <alignment horizontal="center" shrinkToFit="1"/>
      <protection locked="0"/>
    </xf>
    <xf numFmtId="167" fontId="108" fillId="0" borderId="69" xfId="0" applyNumberFormat="1" applyFont="1" applyBorder="1" applyAlignment="1" applyProtection="1">
      <alignment horizontal="center" shrinkToFit="1"/>
      <protection locked="0"/>
    </xf>
    <xf numFmtId="167" fontId="108" fillId="0" borderId="140" xfId="0" applyNumberFormat="1" applyFont="1" applyBorder="1" applyAlignment="1" applyProtection="1">
      <alignment horizontal="center" shrinkToFit="1"/>
      <protection locked="0"/>
    </xf>
    <xf numFmtId="167" fontId="108" fillId="0" borderId="128" xfId="0" applyNumberFormat="1" applyFont="1" applyBorder="1" applyAlignment="1" applyProtection="1">
      <alignment horizontal="center" shrinkToFit="1"/>
      <protection locked="0"/>
    </xf>
    <xf numFmtId="0" fontId="108" fillId="11" borderId="101" xfId="0" applyFont="1" applyFill="1" applyBorder="1" applyAlignment="1">
      <alignment horizontal="center" wrapText="1" shrinkToFit="1"/>
    </xf>
    <xf numFmtId="0" fontId="108" fillId="11" borderId="102" xfId="0" applyFont="1" applyFill="1" applyBorder="1" applyAlignment="1">
      <alignment horizontal="center" wrapText="1" shrinkToFit="1"/>
    </xf>
    <xf numFmtId="0" fontId="108" fillId="11" borderId="109" xfId="0" applyFont="1" applyFill="1" applyBorder="1" applyAlignment="1">
      <alignment horizontal="center" wrapText="1" shrinkToFit="1"/>
    </xf>
    <xf numFmtId="0" fontId="108" fillId="11" borderId="107" xfId="0" applyFont="1" applyFill="1" applyBorder="1" applyAlignment="1">
      <alignment horizontal="center" wrapText="1" shrinkToFit="1"/>
    </xf>
    <xf numFmtId="170" fontId="109" fillId="11" borderId="70" xfId="0" applyNumberFormat="1" applyFont="1" applyFill="1" applyBorder="1" applyAlignment="1">
      <alignment horizontal="center" shrinkToFit="1"/>
    </xf>
    <xf numFmtId="170" fontId="109" fillId="11" borderId="69" xfId="0" applyNumberFormat="1" applyFont="1" applyFill="1" applyBorder="1" applyAlignment="1">
      <alignment horizontal="center" shrinkToFit="1"/>
    </xf>
    <xf numFmtId="167" fontId="109" fillId="11" borderId="143" xfId="0" applyNumberFormat="1" applyFont="1" applyFill="1" applyBorder="1" applyAlignment="1">
      <alignment horizontal="center" wrapText="1"/>
    </xf>
    <xf numFmtId="167" fontId="109" fillId="11" borderId="144" xfId="0" applyNumberFormat="1" applyFont="1" applyFill="1" applyBorder="1" applyAlignment="1">
      <alignment horizontal="center" wrapText="1"/>
    </xf>
    <xf numFmtId="167" fontId="109" fillId="11" borderId="100" xfId="0" applyNumberFormat="1" applyFont="1" applyFill="1" applyBorder="1" applyAlignment="1">
      <alignment horizontal="center" wrapText="1"/>
    </xf>
    <xf numFmtId="167" fontId="109" fillId="11" borderId="102" xfId="0" applyNumberFormat="1" applyFont="1" applyFill="1" applyBorder="1" applyAlignment="1">
      <alignment horizontal="center" wrapText="1"/>
    </xf>
    <xf numFmtId="0" fontId="108" fillId="0" borderId="103" xfId="0" applyFont="1" applyBorder="1" applyAlignment="1" applyProtection="1">
      <alignment horizontal="center" wrapText="1"/>
      <protection locked="0"/>
    </xf>
    <xf numFmtId="0" fontId="108" fillId="0" borderId="104" xfId="0" applyFont="1" applyBorder="1" applyAlignment="1" applyProtection="1">
      <alignment horizontal="center" wrapText="1"/>
      <protection locked="0"/>
    </xf>
    <xf numFmtId="0" fontId="108" fillId="0" borderId="145" xfId="0" applyFont="1" applyBorder="1" applyAlignment="1" applyProtection="1">
      <alignment horizontal="center" wrapText="1"/>
      <protection locked="0"/>
    </xf>
    <xf numFmtId="0" fontId="11" fillId="0" borderId="70" xfId="0" applyFont="1" applyBorder="1" applyAlignment="1">
      <alignment horizontal="center" wrapText="1"/>
    </xf>
    <xf numFmtId="0" fontId="11" fillId="0" borderId="69" xfId="0" applyFont="1" applyBorder="1" applyAlignment="1">
      <alignment horizontal="center" wrapText="1"/>
    </xf>
    <xf numFmtId="167" fontId="109" fillId="11" borderId="103" xfId="0" applyNumberFormat="1" applyFont="1" applyFill="1" applyBorder="1" applyAlignment="1">
      <alignment horizontal="center" wrapText="1"/>
    </xf>
    <xf numFmtId="167" fontId="109" fillId="11" borderId="105" xfId="0" applyNumberFormat="1" applyFont="1" applyFill="1" applyBorder="1" applyAlignment="1">
      <alignment horizontal="center" wrapText="1"/>
    </xf>
    <xf numFmtId="169" fontId="108" fillId="0" borderId="103" xfId="0" applyNumberFormat="1" applyFont="1" applyBorder="1" applyAlignment="1" applyProtection="1">
      <alignment horizontal="center" shrinkToFit="1"/>
      <protection locked="0"/>
    </xf>
    <xf numFmtId="169" fontId="108" fillId="0" borderId="145" xfId="0" applyNumberFormat="1" applyFont="1" applyBorder="1" applyAlignment="1" applyProtection="1">
      <alignment horizontal="center" shrinkToFit="1"/>
      <protection locked="0"/>
    </xf>
    <xf numFmtId="167" fontId="0" fillId="0" borderId="69" xfId="0" applyNumberFormat="1" applyBorder="1" applyAlignment="1">
      <alignment horizontal="center"/>
    </xf>
    <xf numFmtId="172" fontId="0" fillId="0" borderId="69" xfId="0" applyNumberFormat="1" applyBorder="1" applyAlignment="1">
      <alignment horizontal="center"/>
    </xf>
    <xf numFmtId="44" fontId="11" fillId="0" borderId="70" xfId="13" applyFont="1" applyBorder="1" applyAlignment="1">
      <alignment horizontal="center" shrinkToFit="1"/>
    </xf>
    <xf numFmtId="44" fontId="11" fillId="0" borderId="69" xfId="13" applyFont="1" applyBorder="1" applyAlignment="1">
      <alignment horizontal="center" shrinkToFit="1"/>
    </xf>
    <xf numFmtId="0" fontId="13" fillId="0" borderId="202" xfId="0" applyFont="1" applyBorder="1" applyAlignment="1" applyProtection="1">
      <alignment horizontal="center" wrapText="1" shrinkToFit="1"/>
      <protection hidden="1"/>
    </xf>
    <xf numFmtId="0" fontId="13" fillId="0" borderId="169" xfId="0" applyFont="1" applyBorder="1" applyAlignment="1" applyProtection="1">
      <alignment horizontal="center" wrapText="1" shrinkToFit="1"/>
      <protection hidden="1"/>
    </xf>
    <xf numFmtId="169" fontId="13" fillId="0" borderId="74" xfId="0" applyNumberFormat="1" applyFont="1" applyBorder="1" applyAlignment="1" applyProtection="1">
      <alignment horizontal="center" shrinkToFit="1"/>
      <protection hidden="1"/>
    </xf>
    <xf numFmtId="169" fontId="13" fillId="0" borderId="75" xfId="0" applyNumberFormat="1" applyFont="1" applyBorder="1" applyAlignment="1" applyProtection="1">
      <alignment horizontal="center" shrinkToFit="1"/>
      <protection hidden="1"/>
    </xf>
    <xf numFmtId="169" fontId="11" fillId="0" borderId="203" xfId="0" applyNumberFormat="1" applyFont="1" applyBorder="1" applyAlignment="1" applyProtection="1">
      <alignment horizontal="center"/>
      <protection locked="0" hidden="1"/>
    </xf>
    <xf numFmtId="169" fontId="11" fillId="0" borderId="201" xfId="0" applyNumberFormat="1" applyFont="1" applyBorder="1" applyAlignment="1" applyProtection="1">
      <alignment horizontal="center"/>
      <protection locked="0" hidden="1"/>
    </xf>
    <xf numFmtId="0" fontId="13" fillId="0" borderId="202" xfId="0" applyFont="1" applyBorder="1" applyAlignment="1" applyProtection="1">
      <alignment horizontal="center" wrapText="1" shrinkToFit="1"/>
      <protection locked="0"/>
    </xf>
    <xf numFmtId="0" fontId="13" fillId="0" borderId="169" xfId="0" applyFont="1" applyBorder="1" applyAlignment="1" applyProtection="1">
      <alignment horizontal="center" wrapText="1" shrinkToFit="1"/>
      <protection locked="0"/>
    </xf>
    <xf numFmtId="0" fontId="13" fillId="0" borderId="97" xfId="0" applyFont="1" applyBorder="1" applyAlignment="1">
      <alignment horizontal="center" shrinkToFit="1"/>
    </xf>
    <xf numFmtId="0" fontId="108" fillId="0" borderId="226" xfId="0" applyFont="1" applyBorder="1" applyAlignment="1" applyProtection="1">
      <alignment horizontal="center" wrapText="1"/>
      <protection locked="0"/>
    </xf>
    <xf numFmtId="0" fontId="108" fillId="0" borderId="148" xfId="0" applyFont="1" applyBorder="1" applyAlignment="1" applyProtection="1">
      <alignment horizontal="center" wrapText="1"/>
      <protection locked="0"/>
    </xf>
    <xf numFmtId="0" fontId="108" fillId="0" borderId="70" xfId="0" applyFont="1" applyBorder="1" applyAlignment="1" applyProtection="1">
      <alignment horizontal="center" wrapText="1"/>
      <protection locked="0"/>
    </xf>
    <xf numFmtId="0" fontId="108" fillId="0" borderId="69" xfId="0" applyFont="1" applyBorder="1" applyAlignment="1" applyProtection="1">
      <alignment horizontal="center" wrapText="1"/>
      <protection locked="0"/>
    </xf>
    <xf numFmtId="0" fontId="108" fillId="11" borderId="70" xfId="0" applyFont="1" applyFill="1" applyBorder="1" applyAlignment="1">
      <alignment horizontal="center"/>
    </xf>
    <xf numFmtId="0" fontId="108" fillId="11" borderId="69" xfId="0" applyFont="1" applyFill="1" applyBorder="1" applyAlignment="1">
      <alignment horizontal="center"/>
    </xf>
    <xf numFmtId="0" fontId="108" fillId="0" borderId="70" xfId="0" applyFont="1" applyBorder="1" applyAlignment="1" applyProtection="1">
      <alignment horizontal="center" shrinkToFit="1"/>
      <protection locked="0"/>
    </xf>
    <xf numFmtId="0" fontId="108" fillId="0" borderId="69" xfId="0" applyFont="1" applyBorder="1" applyAlignment="1" applyProtection="1">
      <alignment horizontal="center" shrinkToFit="1"/>
      <protection locked="0"/>
    </xf>
    <xf numFmtId="167" fontId="109" fillId="11" borderId="107" xfId="0" applyNumberFormat="1" applyFont="1" applyFill="1" applyBorder="1" applyAlignment="1">
      <alignment horizontal="center" wrapText="1"/>
    </xf>
    <xf numFmtId="0" fontId="11" fillId="0" borderId="70" xfId="0" applyFont="1" applyBorder="1" applyAlignment="1">
      <alignment horizontal="center"/>
    </xf>
    <xf numFmtId="0" fontId="11" fillId="0" borderId="69" xfId="0" applyFont="1" applyBorder="1" applyAlignment="1">
      <alignment horizontal="center"/>
    </xf>
    <xf numFmtId="1" fontId="11" fillId="0" borderId="70" xfId="0" applyNumberFormat="1" applyFont="1" applyBorder="1" applyAlignment="1">
      <alignment horizontal="center" shrinkToFit="1"/>
    </xf>
    <xf numFmtId="1" fontId="11" fillId="0" borderId="69" xfId="0" applyNumberFormat="1" applyFont="1" applyBorder="1" applyAlignment="1">
      <alignment horizontal="center" shrinkToFit="1"/>
    </xf>
    <xf numFmtId="0" fontId="0" fillId="20" borderId="76" xfId="0" applyFill="1" applyBorder="1" applyAlignment="1">
      <alignment horizontal="center"/>
    </xf>
    <xf numFmtId="0" fontId="108" fillId="0" borderId="106" xfId="0" applyFont="1" applyBorder="1" applyAlignment="1" applyProtection="1">
      <alignment horizontal="center" wrapText="1"/>
      <protection locked="0"/>
    </xf>
    <xf numFmtId="167" fontId="108" fillId="0" borderId="125" xfId="0" applyNumberFormat="1" applyFont="1" applyBorder="1" applyAlignment="1" applyProtection="1">
      <alignment horizontal="center" shrinkToFit="1"/>
      <protection locked="0"/>
    </xf>
    <xf numFmtId="167" fontId="109" fillId="11" borderId="147" xfId="0" applyNumberFormat="1" applyFont="1" applyFill="1" applyBorder="1" applyAlignment="1">
      <alignment horizontal="center" wrapText="1"/>
    </xf>
    <xf numFmtId="167" fontId="109" fillId="11" borderId="148" xfId="0" applyNumberFormat="1" applyFont="1" applyFill="1" applyBorder="1" applyAlignment="1">
      <alignment horizontal="center" wrapText="1"/>
    </xf>
    <xf numFmtId="0" fontId="11" fillId="0" borderId="70" xfId="0" applyFont="1" applyBorder="1" applyAlignment="1" applyProtection="1">
      <alignment horizontal="center"/>
      <protection locked="0"/>
    </xf>
    <xf numFmtId="0" fontId="11" fillId="0" borderId="69" xfId="0" applyFont="1" applyBorder="1" applyAlignment="1" applyProtection="1">
      <alignment horizontal="center"/>
      <protection locked="0"/>
    </xf>
    <xf numFmtId="167" fontId="108" fillId="0" borderId="139" xfId="0" applyNumberFormat="1" applyFont="1" applyBorder="1" applyAlignment="1" applyProtection="1">
      <alignment horizontal="center" shrinkToFit="1"/>
      <protection locked="0"/>
    </xf>
    <xf numFmtId="1" fontId="0" fillId="0" borderId="69" xfId="0" applyNumberFormat="1" applyBorder="1" applyAlignment="1">
      <alignment horizontal="center"/>
    </xf>
    <xf numFmtId="0" fontId="11" fillId="0" borderId="204" xfId="0" applyFont="1" applyBorder="1" applyAlignment="1">
      <alignment horizontal="center"/>
    </xf>
    <xf numFmtId="0" fontId="11" fillId="0" borderId="224" xfId="0" applyFont="1" applyBorder="1" applyAlignment="1">
      <alignment horizontal="center"/>
    </xf>
    <xf numFmtId="44" fontId="0" fillId="0" borderId="224" xfId="13" applyFont="1" applyFill="1" applyBorder="1" applyAlignment="1">
      <alignment horizontal="center"/>
    </xf>
    <xf numFmtId="44" fontId="0" fillId="0" borderId="70" xfId="13" applyFont="1" applyFill="1" applyBorder="1" applyAlignment="1">
      <alignment horizontal="center"/>
    </xf>
    <xf numFmtId="44" fontId="0" fillId="0" borderId="204" xfId="13" applyFont="1" applyFill="1" applyBorder="1" applyAlignment="1">
      <alignment horizontal="center"/>
    </xf>
    <xf numFmtId="44" fontId="0" fillId="0" borderId="204" xfId="13" applyFont="1" applyFill="1" applyBorder="1" applyAlignment="1" applyProtection="1">
      <alignment horizontal="center"/>
    </xf>
    <xf numFmtId="44" fontId="0" fillId="0" borderId="70" xfId="13" applyFont="1" applyFill="1" applyBorder="1" applyAlignment="1" applyProtection="1">
      <alignment horizontal="center"/>
    </xf>
    <xf numFmtId="44" fontId="0" fillId="0" borderId="224" xfId="13" applyFont="1" applyFill="1" applyBorder="1" applyAlignment="1" applyProtection="1">
      <alignment horizontal="center"/>
    </xf>
    <xf numFmtId="167" fontId="109" fillId="11" borderId="104" xfId="0" applyNumberFormat="1" applyFont="1" applyFill="1" applyBorder="1" applyAlignment="1">
      <alignment horizontal="center" wrapText="1"/>
    </xf>
    <xf numFmtId="167" fontId="109" fillId="11" borderId="101" xfId="0" applyNumberFormat="1" applyFont="1" applyFill="1" applyBorder="1" applyAlignment="1">
      <alignment horizontal="center" wrapText="1"/>
    </xf>
    <xf numFmtId="167" fontId="108" fillId="0" borderId="76" xfId="0" applyNumberFormat="1" applyFont="1" applyBorder="1" applyAlignment="1" applyProtection="1">
      <alignment horizontal="center" shrinkToFit="1"/>
      <protection locked="0"/>
    </xf>
    <xf numFmtId="167" fontId="108" fillId="0" borderId="127" xfId="0" applyNumberFormat="1" applyFont="1" applyBorder="1" applyAlignment="1" applyProtection="1">
      <alignment horizontal="center" shrinkToFit="1"/>
      <protection locked="0"/>
    </xf>
    <xf numFmtId="167" fontId="178" fillId="11" borderId="126" xfId="0" applyNumberFormat="1" applyFont="1" applyFill="1" applyBorder="1" applyAlignment="1">
      <alignment horizontal="center" wrapText="1"/>
    </xf>
    <xf numFmtId="167" fontId="178" fillId="11" borderId="76" xfId="0" applyNumberFormat="1" applyFont="1" applyFill="1" applyBorder="1" applyAlignment="1">
      <alignment horizontal="center" wrapText="1"/>
    </xf>
    <xf numFmtId="167" fontId="178" fillId="11" borderId="107" xfId="0" applyNumberFormat="1" applyFont="1" applyFill="1" applyBorder="1" applyAlignment="1">
      <alignment horizontal="center" wrapText="1"/>
    </xf>
    <xf numFmtId="167" fontId="178" fillId="11" borderId="69" xfId="0" applyNumberFormat="1" applyFont="1" applyFill="1" applyBorder="1" applyAlignment="1">
      <alignment horizontal="center" wrapText="1"/>
    </xf>
    <xf numFmtId="170" fontId="109" fillId="11" borderId="76" xfId="0" applyNumberFormat="1" applyFont="1" applyFill="1" applyBorder="1" applyAlignment="1">
      <alignment horizontal="center" shrinkToFit="1"/>
    </xf>
    <xf numFmtId="167" fontId="108" fillId="0" borderId="124" xfId="0" applyNumberFormat="1" applyFont="1" applyBorder="1" applyAlignment="1" applyProtection="1">
      <alignment horizontal="center" shrinkToFit="1"/>
      <protection locked="0"/>
    </xf>
    <xf numFmtId="167" fontId="178" fillId="11" borderId="147" xfId="0" applyNumberFormat="1" applyFont="1" applyFill="1" applyBorder="1" applyAlignment="1">
      <alignment horizontal="center" wrapText="1"/>
    </xf>
    <xf numFmtId="167" fontId="178" fillId="11" borderId="105" xfId="0" applyNumberFormat="1" applyFont="1" applyFill="1" applyBorder="1" applyAlignment="1">
      <alignment horizontal="center" wrapText="1"/>
    </xf>
    <xf numFmtId="167" fontId="178" fillId="11" borderId="148" xfId="0" applyNumberFormat="1" applyFont="1" applyFill="1" applyBorder="1" applyAlignment="1">
      <alignment horizontal="center" wrapText="1"/>
    </xf>
    <xf numFmtId="167" fontId="178" fillId="11" borderId="102" xfId="0" applyNumberFormat="1" applyFont="1" applyFill="1" applyBorder="1" applyAlignment="1">
      <alignment horizontal="center" wrapText="1"/>
    </xf>
    <xf numFmtId="1" fontId="13" fillId="0" borderId="74" xfId="0" applyNumberFormat="1" applyFont="1" applyBorder="1" applyAlignment="1">
      <alignment horizontal="center" shrinkToFit="1"/>
    </xf>
    <xf numFmtId="1" fontId="13" fillId="0" borderId="75" xfId="0" applyNumberFormat="1" applyFont="1" applyBorder="1" applyAlignment="1">
      <alignment horizontal="center" shrinkToFit="1"/>
    </xf>
    <xf numFmtId="167" fontId="11" fillId="0" borderId="59" xfId="0" applyNumberFormat="1" applyFont="1" applyBorder="1" applyAlignment="1">
      <alignment horizontal="center" shrinkToFit="1"/>
    </xf>
    <xf numFmtId="167" fontId="11" fillId="0" borderId="60" xfId="0" applyNumberFormat="1" applyFont="1" applyBorder="1" applyAlignment="1">
      <alignment horizontal="center" shrinkToFit="1"/>
    </xf>
    <xf numFmtId="44" fontId="13" fillId="0" borderId="74" xfId="13" applyFont="1" applyBorder="1" applyAlignment="1" applyProtection="1">
      <alignment horizontal="center" shrinkToFit="1"/>
    </xf>
    <xf numFmtId="44" fontId="13" fillId="0" borderId="75" xfId="13" applyFont="1" applyBorder="1" applyAlignment="1" applyProtection="1">
      <alignment horizontal="center" shrinkToFit="1"/>
    </xf>
    <xf numFmtId="172" fontId="13" fillId="0" borderId="97" xfId="0" applyNumberFormat="1" applyFont="1" applyBorder="1" applyAlignment="1">
      <alignment horizontal="center" shrinkToFit="1"/>
    </xf>
    <xf numFmtId="172" fontId="13" fillId="0" borderId="75" xfId="0" applyNumberFormat="1" applyFont="1" applyBorder="1" applyAlignment="1">
      <alignment horizontal="center" wrapText="1" shrinkToFit="1"/>
    </xf>
    <xf numFmtId="167" fontId="13" fillId="0" borderId="97" xfId="0" applyNumberFormat="1" applyFont="1" applyBorder="1" applyAlignment="1">
      <alignment horizontal="center" shrinkToFit="1"/>
    </xf>
    <xf numFmtId="167" fontId="13" fillId="74" borderId="97" xfId="0" applyNumberFormat="1" applyFont="1" applyFill="1" applyBorder="1" applyAlignment="1">
      <alignment horizontal="center"/>
    </xf>
    <xf numFmtId="167" fontId="13" fillId="74" borderId="74" xfId="0" applyNumberFormat="1" applyFont="1" applyFill="1" applyBorder="1" applyAlignment="1">
      <alignment horizontal="center"/>
    </xf>
    <xf numFmtId="0" fontId="13" fillId="0" borderId="74" xfId="0" applyFont="1" applyBorder="1" applyAlignment="1">
      <alignment horizontal="center"/>
    </xf>
    <xf numFmtId="0" fontId="13" fillId="0" borderId="75" xfId="0" applyFont="1" applyBorder="1" applyAlignment="1">
      <alignment horizontal="center"/>
    </xf>
    <xf numFmtId="0" fontId="13" fillId="0" borderId="97" xfId="0" applyFont="1" applyBorder="1" applyAlignment="1">
      <alignment horizontal="center" wrapText="1"/>
    </xf>
    <xf numFmtId="0" fontId="13" fillId="0" borderId="74" xfId="0" applyFont="1" applyBorder="1" applyAlignment="1">
      <alignment horizontal="center" wrapText="1" shrinkToFit="1"/>
    </xf>
    <xf numFmtId="0" fontId="13" fillId="0" borderId="75" xfId="0" applyFont="1" applyBorder="1" applyAlignment="1">
      <alignment horizontal="center" wrapText="1" shrinkToFit="1"/>
    </xf>
    <xf numFmtId="3" fontId="108" fillId="0" borderId="164" xfId="0" applyNumberFormat="1" applyFont="1" applyBorder="1" applyAlignment="1" applyProtection="1">
      <alignment horizontal="center" shrinkToFit="1"/>
      <protection locked="0"/>
    </xf>
    <xf numFmtId="3" fontId="108" fillId="0" borderId="207" xfId="0" applyNumberFormat="1" applyFont="1" applyBorder="1" applyAlignment="1" applyProtection="1">
      <alignment horizontal="center" shrinkToFit="1"/>
      <protection locked="0"/>
    </xf>
    <xf numFmtId="3" fontId="108" fillId="0" borderId="165" xfId="0" applyNumberFormat="1" applyFont="1" applyBorder="1" applyAlignment="1" applyProtection="1">
      <alignment horizontal="center" shrinkToFit="1"/>
      <protection locked="0"/>
    </xf>
    <xf numFmtId="3" fontId="108" fillId="0" borderId="216" xfId="0" applyNumberFormat="1" applyFont="1" applyBorder="1" applyAlignment="1" applyProtection="1">
      <alignment horizontal="center" shrinkToFit="1"/>
      <protection locked="0"/>
    </xf>
    <xf numFmtId="0" fontId="108" fillId="0" borderId="207" xfId="0" applyFont="1" applyBorder="1" applyAlignment="1" applyProtection="1">
      <alignment horizontal="center" wrapText="1"/>
      <protection locked="0"/>
    </xf>
    <xf numFmtId="0" fontId="108" fillId="0" borderId="210" xfId="0" applyFont="1" applyBorder="1" applyAlignment="1" applyProtection="1">
      <alignment horizontal="center" wrapText="1"/>
      <protection locked="0"/>
    </xf>
    <xf numFmtId="0" fontId="108" fillId="0" borderId="216" xfId="0" applyFont="1" applyBorder="1" applyAlignment="1" applyProtection="1">
      <alignment horizontal="center" wrapText="1"/>
      <protection locked="0"/>
    </xf>
    <xf numFmtId="0" fontId="108" fillId="0" borderId="221" xfId="0" applyFont="1" applyBorder="1" applyAlignment="1" applyProtection="1">
      <alignment horizontal="center" wrapText="1"/>
      <protection locked="0"/>
    </xf>
    <xf numFmtId="0" fontId="108" fillId="0" borderId="217" xfId="0" applyFont="1" applyBorder="1" applyAlignment="1" applyProtection="1">
      <alignment horizontal="center" wrapText="1"/>
      <protection locked="0"/>
    </xf>
    <xf numFmtId="0" fontId="108" fillId="0" borderId="222" xfId="0" applyFont="1" applyBorder="1" applyAlignment="1" applyProtection="1">
      <alignment horizontal="center" wrapText="1"/>
      <protection locked="0"/>
    </xf>
    <xf numFmtId="3" fontId="108" fillId="0" borderId="223" xfId="0" applyNumberFormat="1" applyFont="1" applyBorder="1" applyAlignment="1" applyProtection="1">
      <alignment horizontal="center" shrinkToFit="1"/>
      <protection locked="0"/>
    </xf>
    <xf numFmtId="3" fontId="108" fillId="0" borderId="217" xfId="0" applyNumberFormat="1" applyFont="1" applyBorder="1" applyAlignment="1" applyProtection="1">
      <alignment horizontal="center" shrinkToFit="1"/>
      <protection locked="0"/>
    </xf>
    <xf numFmtId="3" fontId="108" fillId="0" borderId="206" xfId="0" applyNumberFormat="1" applyFont="1" applyBorder="1" applyAlignment="1" applyProtection="1">
      <alignment horizontal="center" shrinkToFit="1"/>
      <protection locked="0"/>
    </xf>
    <xf numFmtId="3" fontId="108" fillId="0" borderId="218" xfId="0" applyNumberFormat="1" applyFont="1" applyBorder="1" applyAlignment="1" applyProtection="1">
      <alignment horizontal="center" shrinkToFit="1"/>
      <protection locked="0"/>
    </xf>
    <xf numFmtId="3" fontId="108" fillId="0" borderId="219" xfId="0" applyNumberFormat="1" applyFont="1" applyBorder="1" applyAlignment="1" applyProtection="1">
      <alignment horizontal="center" shrinkToFit="1"/>
      <protection locked="0"/>
    </xf>
    <xf numFmtId="167" fontId="13" fillId="74" borderId="75" xfId="0" applyNumberFormat="1" applyFont="1" applyFill="1" applyBorder="1" applyAlignment="1">
      <alignment horizontal="center"/>
    </xf>
    <xf numFmtId="0" fontId="108" fillId="0" borderId="197" xfId="0" applyFont="1" applyBorder="1" applyAlignment="1" applyProtection="1">
      <alignment horizontal="center" wrapText="1"/>
      <protection locked="0"/>
    </xf>
    <xf numFmtId="0" fontId="108" fillId="0" borderId="209" xfId="0" applyFont="1" applyBorder="1" applyAlignment="1" applyProtection="1">
      <alignment horizontal="center" wrapText="1"/>
      <protection locked="0"/>
    </xf>
    <xf numFmtId="167" fontId="108" fillId="0" borderId="209" xfId="0" applyNumberFormat="1" applyFont="1" applyBorder="1" applyAlignment="1" applyProtection="1">
      <alignment horizontal="center" shrinkToFit="1"/>
      <protection locked="0"/>
    </xf>
    <xf numFmtId="167" fontId="108" fillId="0" borderId="157" xfId="0" applyNumberFormat="1" applyFont="1" applyBorder="1" applyAlignment="1" applyProtection="1">
      <alignment horizontal="center" shrinkToFit="1"/>
      <protection locked="0"/>
    </xf>
    <xf numFmtId="167" fontId="108" fillId="0" borderId="197" xfId="0" applyNumberFormat="1" applyFont="1" applyBorder="1" applyAlignment="1" applyProtection="1">
      <alignment horizontal="center" shrinkToFit="1"/>
      <protection locked="0" hidden="1"/>
    </xf>
    <xf numFmtId="167" fontId="108" fillId="0" borderId="209" xfId="0" applyNumberFormat="1" applyFont="1" applyBorder="1" applyAlignment="1" applyProtection="1">
      <alignment horizontal="center" shrinkToFit="1"/>
      <protection locked="0" hidden="1"/>
    </xf>
    <xf numFmtId="167" fontId="109" fillId="5" borderId="56" xfId="0" applyNumberFormat="1" applyFont="1" applyFill="1" applyBorder="1" applyAlignment="1">
      <alignment horizontal="center" wrapText="1"/>
    </xf>
    <xf numFmtId="167" fontId="109" fillId="5" borderId="57" xfId="0" applyNumberFormat="1" applyFont="1" applyFill="1" applyBorder="1" applyAlignment="1">
      <alignment horizontal="center" wrapText="1"/>
    </xf>
    <xf numFmtId="167" fontId="109" fillId="5" borderId="58" xfId="0" applyNumberFormat="1" applyFont="1" applyFill="1" applyBorder="1" applyAlignment="1">
      <alignment horizontal="center" wrapText="1"/>
    </xf>
    <xf numFmtId="167" fontId="109" fillId="5" borderId="60" xfId="0" applyNumberFormat="1" applyFont="1" applyFill="1" applyBorder="1" applyAlignment="1">
      <alignment horizontal="center" wrapText="1"/>
    </xf>
    <xf numFmtId="167" fontId="109" fillId="5" borderId="61" xfId="0" applyNumberFormat="1" applyFont="1" applyFill="1" applyBorder="1" applyAlignment="1">
      <alignment horizontal="center" wrapText="1"/>
    </xf>
    <xf numFmtId="167" fontId="109" fillId="5" borderId="62" xfId="0" applyNumberFormat="1" applyFont="1" applyFill="1" applyBorder="1" applyAlignment="1">
      <alignment horizontal="center" wrapText="1"/>
    </xf>
    <xf numFmtId="167" fontId="109" fillId="5" borderId="216" xfId="0" applyNumberFormat="1" applyFont="1" applyFill="1" applyBorder="1" applyAlignment="1">
      <alignment horizontal="center" shrinkToFit="1"/>
    </xf>
    <xf numFmtId="167" fontId="109" fillId="5" borderId="169" xfId="0" applyNumberFormat="1" applyFont="1" applyFill="1" applyBorder="1" applyAlignment="1">
      <alignment horizontal="center" shrinkToFit="1"/>
    </xf>
    <xf numFmtId="167" fontId="109" fillId="5" borderId="209" xfId="0" applyNumberFormat="1" applyFont="1" applyFill="1" applyBorder="1" applyAlignment="1">
      <alignment horizontal="center" shrinkToFit="1"/>
    </xf>
    <xf numFmtId="167" fontId="109" fillId="5" borderId="157" xfId="0" applyNumberFormat="1" applyFont="1" applyFill="1" applyBorder="1" applyAlignment="1">
      <alignment horizontal="center" shrinkToFit="1"/>
    </xf>
    <xf numFmtId="0" fontId="108" fillId="0" borderId="220" xfId="0" applyFont="1" applyBorder="1" applyAlignment="1" applyProtection="1">
      <alignment horizontal="center" wrapText="1"/>
      <protection locked="0"/>
    </xf>
    <xf numFmtId="0" fontId="108" fillId="0" borderId="208" xfId="0" applyFont="1" applyBorder="1" applyAlignment="1" applyProtection="1">
      <alignment horizontal="center" wrapText="1"/>
      <protection locked="0"/>
    </xf>
    <xf numFmtId="167" fontId="108" fillId="0" borderId="208" xfId="0" applyNumberFormat="1" applyFont="1" applyBorder="1" applyAlignment="1" applyProtection="1">
      <alignment horizontal="center" shrinkToFit="1"/>
      <protection locked="0"/>
    </xf>
    <xf numFmtId="167" fontId="108" fillId="0" borderId="215" xfId="0" applyNumberFormat="1" applyFont="1" applyBorder="1" applyAlignment="1" applyProtection="1">
      <alignment horizontal="center" shrinkToFit="1"/>
      <protection locked="0"/>
    </xf>
    <xf numFmtId="167" fontId="108" fillId="0" borderId="220" xfId="0" applyNumberFormat="1" applyFont="1" applyBorder="1" applyAlignment="1" applyProtection="1">
      <alignment horizontal="center" shrinkToFit="1"/>
      <protection locked="0" hidden="1"/>
    </xf>
    <xf numFmtId="167" fontId="108" fillId="0" borderId="208" xfId="0" applyNumberFormat="1" applyFont="1" applyBorder="1" applyAlignment="1" applyProtection="1">
      <alignment horizontal="center" shrinkToFit="1"/>
      <protection locked="0" hidden="1"/>
    </xf>
    <xf numFmtId="0" fontId="123" fillId="16" borderId="0" xfId="0" applyFont="1" applyFill="1" applyAlignment="1" applyProtection="1">
      <alignment horizontal="center" vertical="center" wrapText="1"/>
      <protection hidden="1"/>
    </xf>
    <xf numFmtId="167" fontId="109" fillId="5" borderId="208" xfId="0" applyNumberFormat="1" applyFont="1" applyFill="1" applyBorder="1" applyAlignment="1">
      <alignment horizontal="center" shrinkToFit="1"/>
    </xf>
    <xf numFmtId="167" fontId="109" fillId="5" borderId="215" xfId="0" applyNumberFormat="1" applyFont="1" applyFill="1" applyBorder="1" applyAlignment="1">
      <alignment horizontal="center" shrinkToFit="1"/>
    </xf>
    <xf numFmtId="3" fontId="108" fillId="0" borderId="214" xfId="0" applyNumberFormat="1" applyFont="1" applyBorder="1" applyAlignment="1" applyProtection="1">
      <alignment horizontal="center" shrinkToFit="1"/>
      <protection locked="0"/>
    </xf>
    <xf numFmtId="3" fontId="108" fillId="0" borderId="201" xfId="0" applyNumberFormat="1" applyFont="1" applyBorder="1" applyAlignment="1" applyProtection="1">
      <alignment horizontal="center" shrinkToFit="1"/>
      <protection locked="0"/>
    </xf>
    <xf numFmtId="0" fontId="108" fillId="0" borderId="167" xfId="0" applyFont="1" applyBorder="1" applyAlignment="1" applyProtection="1">
      <alignment horizontal="center" wrapText="1"/>
      <protection locked="0"/>
    </xf>
    <xf numFmtId="0" fontId="108" fillId="0" borderId="169" xfId="0" applyFont="1" applyBorder="1" applyAlignment="1" applyProtection="1">
      <alignment horizontal="center" wrapText="1"/>
      <protection locked="0"/>
    </xf>
    <xf numFmtId="3" fontId="108" fillId="0" borderId="203" xfId="0" applyNumberFormat="1" applyFont="1" applyBorder="1" applyAlignment="1" applyProtection="1">
      <alignment horizontal="center" shrinkToFit="1"/>
      <protection locked="0"/>
    </xf>
    <xf numFmtId="0" fontId="108" fillId="0" borderId="202" xfId="0" applyFont="1" applyBorder="1" applyAlignment="1" applyProtection="1">
      <alignment horizontal="center" wrapText="1"/>
      <protection locked="0"/>
    </xf>
    <xf numFmtId="14" fontId="68" fillId="4" borderId="37" xfId="0" applyNumberFormat="1" applyFont="1" applyFill="1" applyBorder="1" applyAlignment="1" applyProtection="1">
      <alignment horizontal="left"/>
      <protection locked="0"/>
    </xf>
    <xf numFmtId="14" fontId="68" fillId="4" borderId="38" xfId="0" applyNumberFormat="1" applyFont="1" applyFill="1" applyBorder="1" applyAlignment="1" applyProtection="1">
      <alignment horizontal="left"/>
      <protection locked="0"/>
    </xf>
    <xf numFmtId="14" fontId="68" fillId="4" borderId="39" xfId="0" applyNumberFormat="1" applyFont="1" applyFill="1" applyBorder="1" applyAlignment="1" applyProtection="1">
      <alignment horizontal="left"/>
      <protection locked="0"/>
    </xf>
    <xf numFmtId="3" fontId="68" fillId="4" borderId="37" xfId="0" applyNumberFormat="1" applyFont="1" applyFill="1" applyBorder="1" applyAlignment="1" applyProtection="1">
      <alignment horizontal="left"/>
      <protection locked="0"/>
    </xf>
    <xf numFmtId="3" fontId="68" fillId="4" borderId="38" xfId="0" applyNumberFormat="1" applyFont="1" applyFill="1" applyBorder="1" applyAlignment="1" applyProtection="1">
      <alignment horizontal="left"/>
      <protection locked="0"/>
    </xf>
    <xf numFmtId="3" fontId="68" fillId="4" borderId="39" xfId="0" applyNumberFormat="1" applyFont="1" applyFill="1" applyBorder="1" applyAlignment="1" applyProtection="1">
      <alignment horizontal="left"/>
      <protection locked="0"/>
    </xf>
    <xf numFmtId="9" fontId="68" fillId="4" borderId="37" xfId="0" applyNumberFormat="1" applyFont="1" applyFill="1" applyBorder="1" applyAlignment="1" applyProtection="1">
      <alignment horizontal="left"/>
      <protection locked="0"/>
    </xf>
    <xf numFmtId="9" fontId="68" fillId="4" borderId="38" xfId="0" applyNumberFormat="1" applyFont="1" applyFill="1" applyBorder="1" applyAlignment="1" applyProtection="1">
      <alignment horizontal="left"/>
      <protection locked="0"/>
    </xf>
    <xf numFmtId="9" fontId="68" fillId="4" borderId="39" xfId="0" applyNumberFormat="1" applyFont="1" applyFill="1" applyBorder="1" applyAlignment="1" applyProtection="1">
      <alignment horizontal="left"/>
      <protection locked="0"/>
    </xf>
    <xf numFmtId="1" fontId="68" fillId="4" borderId="37" xfId="0" applyNumberFormat="1" applyFont="1" applyFill="1" applyBorder="1" applyAlignment="1" applyProtection="1">
      <alignment horizontal="left"/>
      <protection locked="0"/>
    </xf>
    <xf numFmtId="1" fontId="68" fillId="4" borderId="38" xfId="0" applyNumberFormat="1" applyFont="1" applyFill="1" applyBorder="1" applyAlignment="1" applyProtection="1">
      <alignment horizontal="left"/>
      <protection locked="0"/>
    </xf>
    <xf numFmtId="1" fontId="68" fillId="4" borderId="39" xfId="0" applyNumberFormat="1" applyFont="1" applyFill="1" applyBorder="1" applyAlignment="1" applyProtection="1">
      <alignment horizontal="left"/>
      <protection locked="0"/>
    </xf>
    <xf numFmtId="0" fontId="68" fillId="4" borderId="0" xfId="0" applyFont="1" applyFill="1" applyAlignment="1">
      <alignment wrapText="1"/>
    </xf>
    <xf numFmtId="0" fontId="68" fillId="4" borderId="151" xfId="0" applyFont="1" applyFill="1" applyBorder="1" applyAlignment="1">
      <alignment wrapText="1"/>
    </xf>
    <xf numFmtId="167" fontId="108" fillId="0" borderId="167" xfId="0" applyNumberFormat="1" applyFont="1" applyBorder="1" applyAlignment="1" applyProtection="1">
      <alignment horizontal="center" shrinkToFit="1"/>
      <protection locked="0"/>
    </xf>
    <xf numFmtId="167" fontId="108" fillId="0" borderId="160" xfId="0" applyNumberFormat="1" applyFont="1" applyBorder="1" applyAlignment="1" applyProtection="1">
      <alignment horizontal="center" shrinkToFit="1"/>
      <protection locked="0"/>
    </xf>
    <xf numFmtId="167" fontId="108" fillId="0" borderId="168" xfId="0" applyNumberFormat="1" applyFont="1" applyBorder="1" applyAlignment="1" applyProtection="1">
      <alignment horizontal="center" shrinkToFit="1"/>
      <protection locked="0"/>
    </xf>
    <xf numFmtId="167" fontId="108" fillId="0" borderId="169" xfId="0" applyNumberFormat="1" applyFont="1" applyBorder="1" applyAlignment="1" applyProtection="1">
      <alignment horizontal="center" shrinkToFit="1"/>
      <protection locked="0"/>
    </xf>
    <xf numFmtId="167" fontId="108" fillId="0" borderId="129" xfId="0" applyNumberFormat="1" applyFont="1" applyBorder="1" applyAlignment="1" applyProtection="1">
      <alignment horizontal="center" shrinkToFit="1"/>
      <protection locked="0"/>
    </xf>
    <xf numFmtId="183" fontId="108" fillId="0" borderId="59" xfId="0" applyNumberFormat="1" applyFont="1" applyBorder="1" applyAlignment="1" applyProtection="1">
      <alignment horizontal="center" shrinkToFit="1"/>
      <protection locked="0"/>
    </xf>
    <xf numFmtId="183" fontId="108" fillId="0" borderId="60" xfId="0" applyNumberFormat="1" applyFont="1" applyBorder="1" applyAlignment="1" applyProtection="1">
      <alignment horizontal="center" shrinkToFit="1"/>
      <protection locked="0"/>
    </xf>
    <xf numFmtId="3" fontId="108" fillId="0" borderId="162" xfId="0" applyNumberFormat="1" applyFont="1" applyBorder="1" applyAlignment="1" applyProtection="1">
      <alignment horizontal="center" shrinkToFit="1"/>
      <protection locked="0"/>
    </xf>
    <xf numFmtId="3" fontId="108" fillId="0" borderId="142" xfId="0" applyNumberFormat="1" applyFont="1" applyBorder="1" applyAlignment="1" applyProtection="1">
      <alignment horizontal="center" shrinkToFit="1"/>
      <protection locked="0"/>
    </xf>
    <xf numFmtId="3" fontId="108" fillId="0" borderId="163" xfId="0" applyNumberFormat="1" applyFont="1" applyBorder="1" applyAlignment="1" applyProtection="1">
      <alignment horizontal="center" shrinkToFit="1"/>
      <protection locked="0"/>
    </xf>
    <xf numFmtId="3" fontId="108" fillId="0" borderId="62" xfId="0" applyNumberFormat="1" applyFont="1" applyBorder="1" applyAlignment="1" applyProtection="1">
      <alignment horizontal="center" shrinkToFit="1"/>
      <protection locked="0"/>
    </xf>
    <xf numFmtId="3" fontId="108" fillId="0" borderId="141" xfId="0" applyNumberFormat="1" applyFont="1" applyBorder="1" applyAlignment="1" applyProtection="1">
      <alignment horizontal="center" shrinkToFit="1"/>
      <protection locked="0"/>
    </xf>
    <xf numFmtId="3" fontId="108" fillId="0" borderId="60" xfId="0" applyNumberFormat="1" applyFont="1" applyBorder="1" applyAlignment="1" applyProtection="1">
      <alignment horizontal="center" shrinkToFit="1"/>
      <protection locked="0"/>
    </xf>
    <xf numFmtId="4" fontId="108" fillId="0" borderId="162" xfId="0" applyNumberFormat="1" applyFont="1" applyBorder="1" applyAlignment="1" applyProtection="1">
      <alignment horizontal="center" shrinkToFit="1"/>
      <protection locked="0"/>
    </xf>
    <xf numFmtId="4" fontId="108" fillId="0" borderId="142" xfId="0" applyNumberFormat="1" applyFont="1" applyBorder="1" applyAlignment="1" applyProtection="1">
      <alignment horizontal="center" shrinkToFit="1"/>
      <protection locked="0"/>
    </xf>
    <xf numFmtId="4" fontId="108" fillId="0" borderId="163" xfId="0" applyNumberFormat="1" applyFont="1" applyBorder="1" applyAlignment="1" applyProtection="1">
      <alignment horizontal="center" shrinkToFit="1"/>
      <protection locked="0"/>
    </xf>
    <xf numFmtId="4" fontId="108" fillId="0" borderId="62" xfId="0" applyNumberFormat="1" applyFont="1" applyBorder="1" applyAlignment="1" applyProtection="1">
      <alignment horizontal="center" shrinkToFit="1"/>
      <protection locked="0"/>
    </xf>
    <xf numFmtId="4" fontId="108" fillId="0" borderId="141" xfId="0" applyNumberFormat="1" applyFont="1" applyBorder="1" applyAlignment="1" applyProtection="1">
      <alignment horizontal="center" shrinkToFit="1"/>
      <protection locked="0"/>
    </xf>
    <xf numFmtId="4" fontId="108" fillId="0" borderId="164" xfId="0" applyNumberFormat="1" applyFont="1" applyBorder="1" applyAlignment="1" applyProtection="1">
      <alignment horizontal="center" shrinkToFit="1"/>
      <protection locked="0"/>
    </xf>
    <xf numFmtId="4" fontId="108" fillId="0" borderId="60" xfId="0" applyNumberFormat="1" applyFont="1" applyBorder="1" applyAlignment="1" applyProtection="1">
      <alignment horizontal="center" shrinkToFit="1"/>
      <protection locked="0"/>
    </xf>
    <xf numFmtId="4" fontId="108" fillId="0" borderId="165" xfId="0" applyNumberFormat="1" applyFont="1" applyBorder="1" applyAlignment="1" applyProtection="1">
      <alignment horizontal="center" shrinkToFit="1"/>
      <protection locked="0"/>
    </xf>
    <xf numFmtId="186" fontId="109" fillId="5" borderId="141" xfId="0" applyNumberFormat="1" applyFont="1" applyFill="1" applyBorder="1" applyAlignment="1">
      <alignment horizontal="center" shrinkToFit="1"/>
    </xf>
    <xf numFmtId="186" fontId="109" fillId="5" borderId="142" xfId="0" applyNumberFormat="1" applyFont="1" applyFill="1" applyBorder="1" applyAlignment="1">
      <alignment horizontal="center" shrinkToFit="1"/>
    </xf>
    <xf numFmtId="186" fontId="109" fillId="5" borderId="60" xfId="0" applyNumberFormat="1" applyFont="1" applyFill="1" applyBorder="1" applyAlignment="1">
      <alignment horizontal="center" shrinkToFit="1"/>
    </xf>
    <xf numFmtId="186" fontId="109" fillId="5" borderId="62" xfId="0" applyNumberFormat="1" applyFont="1" applyFill="1" applyBorder="1" applyAlignment="1">
      <alignment horizontal="center" shrinkToFit="1"/>
    </xf>
    <xf numFmtId="9" fontId="109" fillId="5" borderId="166" xfId="6" applyFont="1" applyFill="1" applyBorder="1" applyAlignment="1">
      <alignment horizontal="center" shrinkToFit="1"/>
    </xf>
    <xf numFmtId="9" fontId="109" fillId="5" borderId="99" xfId="6" applyFont="1" applyFill="1" applyBorder="1" applyAlignment="1">
      <alignment horizontal="center" shrinkToFit="1"/>
    </xf>
    <xf numFmtId="9" fontId="109" fillId="5" borderId="142" xfId="6" applyFont="1" applyFill="1" applyBorder="1" applyAlignment="1">
      <alignment horizontal="center" shrinkToFit="1"/>
    </xf>
    <xf numFmtId="9" fontId="109" fillId="5" borderId="149" xfId="6" applyFont="1" applyFill="1" applyBorder="1" applyAlignment="1">
      <alignment horizontal="center" shrinkToFit="1"/>
    </xf>
    <xf numFmtId="9" fontId="109" fillId="5" borderId="61" xfId="6" applyFont="1" applyFill="1" applyBorder="1" applyAlignment="1">
      <alignment horizontal="center" shrinkToFit="1"/>
    </xf>
    <xf numFmtId="9" fontId="109" fillId="5" borderId="62" xfId="6" applyFont="1" applyFill="1" applyBorder="1" applyAlignment="1">
      <alignment horizontal="center" shrinkToFit="1"/>
    </xf>
    <xf numFmtId="167" fontId="109" fillId="5" borderId="141" xfId="0" applyNumberFormat="1" applyFont="1" applyFill="1" applyBorder="1" applyAlignment="1">
      <alignment horizontal="center" shrinkToFit="1"/>
    </xf>
    <xf numFmtId="167" fontId="109" fillId="5" borderId="99" xfId="0" applyNumberFormat="1" applyFont="1" applyFill="1" applyBorder="1" applyAlignment="1">
      <alignment horizontal="center" shrinkToFit="1"/>
    </xf>
    <xf numFmtId="167" fontId="109" fillId="5" borderId="142" xfId="0" applyNumberFormat="1" applyFont="1" applyFill="1" applyBorder="1" applyAlignment="1">
      <alignment horizontal="center" shrinkToFit="1"/>
    </xf>
    <xf numFmtId="167" fontId="109" fillId="5" borderId="60" xfId="0" applyNumberFormat="1" applyFont="1" applyFill="1" applyBorder="1" applyAlignment="1">
      <alignment horizontal="center" shrinkToFit="1"/>
    </xf>
    <xf numFmtId="167" fontId="109" fillId="5" borderId="61" xfId="0" applyNumberFormat="1" applyFont="1" applyFill="1" applyBorder="1" applyAlignment="1">
      <alignment horizontal="center" shrinkToFit="1"/>
    </xf>
    <xf numFmtId="170" fontId="109" fillId="5" borderId="141" xfId="0" applyNumberFormat="1" applyFont="1" applyFill="1" applyBorder="1" applyAlignment="1">
      <alignment horizontal="center" shrinkToFit="1"/>
    </xf>
    <xf numFmtId="170" fontId="109" fillId="5" borderId="99" xfId="0" applyNumberFormat="1" applyFont="1" applyFill="1" applyBorder="1" applyAlignment="1">
      <alignment horizontal="center" shrinkToFit="1"/>
    </xf>
    <xf numFmtId="170" fontId="109" fillId="5" borderId="142" xfId="0" applyNumberFormat="1" applyFont="1" applyFill="1" applyBorder="1" applyAlignment="1">
      <alignment horizontal="center" shrinkToFit="1"/>
    </xf>
    <xf numFmtId="170" fontId="109" fillId="5" borderId="60" xfId="0" applyNumberFormat="1" applyFont="1" applyFill="1" applyBorder="1" applyAlignment="1">
      <alignment horizontal="center" shrinkToFit="1"/>
    </xf>
    <xf numFmtId="170" fontId="109" fillId="5" borderId="61" xfId="0" applyNumberFormat="1" applyFont="1" applyFill="1" applyBorder="1" applyAlignment="1">
      <alignment horizontal="center" shrinkToFit="1"/>
    </xf>
    <xf numFmtId="170" fontId="109" fillId="5" borderId="62" xfId="0" applyNumberFormat="1" applyFont="1" applyFill="1" applyBorder="1" applyAlignment="1">
      <alignment horizontal="center" shrinkToFit="1"/>
    </xf>
    <xf numFmtId="9" fontId="126" fillId="0" borderId="0" xfId="0" applyNumberFormat="1" applyFont="1" applyAlignment="1">
      <alignment horizontal="center"/>
    </xf>
    <xf numFmtId="0" fontId="21" fillId="0" borderId="0" xfId="0" applyFont="1" applyAlignment="1">
      <alignment horizontal="center" wrapText="1"/>
    </xf>
    <xf numFmtId="173" fontId="11" fillId="0" borderId="8" xfId="0" applyNumberFormat="1" applyFont="1" applyBorder="1" applyAlignment="1">
      <alignment horizontal="center"/>
    </xf>
    <xf numFmtId="173" fontId="11" fillId="0" borderId="1" xfId="0" applyNumberFormat="1" applyFont="1" applyBorder="1" applyAlignment="1">
      <alignment horizontal="center"/>
    </xf>
    <xf numFmtId="0" fontId="99" fillId="0" borderId="0" xfId="0" applyFont="1" applyAlignment="1">
      <alignment horizontal="center" wrapText="1"/>
    </xf>
    <xf numFmtId="0" fontId="99" fillId="0" borderId="71" xfId="0" applyFont="1" applyBorder="1" applyAlignment="1">
      <alignment horizontal="center" wrapText="1"/>
    </xf>
    <xf numFmtId="0" fontId="11" fillId="0" borderId="8" xfId="0" applyFont="1" applyBorder="1" applyAlignment="1">
      <alignment horizontal="center" wrapText="1"/>
    </xf>
    <xf numFmtId="0" fontId="11" fillId="0" borderId="1" xfId="0" applyFont="1" applyBorder="1" applyAlignment="1">
      <alignment horizontal="center" wrapText="1"/>
    </xf>
    <xf numFmtId="0" fontId="11" fillId="5" borderId="40" xfId="0" applyFont="1" applyFill="1" applyBorder="1" applyAlignment="1">
      <alignment horizontal="left" vertical="top" wrapText="1"/>
    </xf>
    <xf numFmtId="0" fontId="11" fillId="5" borderId="41" xfId="0" applyFont="1" applyFill="1" applyBorder="1" applyAlignment="1">
      <alignment horizontal="left" vertical="top" wrapText="1"/>
    </xf>
    <xf numFmtId="0" fontId="11" fillId="5" borderId="42" xfId="0" applyFont="1" applyFill="1" applyBorder="1" applyAlignment="1">
      <alignment horizontal="left" vertical="top" wrapText="1"/>
    </xf>
    <xf numFmtId="0" fontId="11" fillId="5" borderId="43" xfId="0" applyFont="1" applyFill="1" applyBorder="1" applyAlignment="1">
      <alignment horizontal="left" vertical="top" wrapText="1"/>
    </xf>
    <xf numFmtId="0" fontId="11" fillId="5" borderId="0" xfId="0" applyFont="1" applyFill="1" applyAlignment="1">
      <alignment horizontal="left" vertical="top" wrapText="1"/>
    </xf>
    <xf numFmtId="0" fontId="11" fillId="5" borderId="44" xfId="0" applyFont="1" applyFill="1" applyBorder="1" applyAlignment="1">
      <alignment horizontal="left" vertical="top" wrapText="1"/>
    </xf>
    <xf numFmtId="0" fontId="11" fillId="5" borderId="45" xfId="0" applyFont="1" applyFill="1" applyBorder="1" applyAlignment="1">
      <alignment horizontal="left" vertical="top" wrapText="1"/>
    </xf>
    <xf numFmtId="0" fontId="11" fillId="5" borderId="35" xfId="0" applyFont="1" applyFill="1" applyBorder="1" applyAlignment="1">
      <alignment horizontal="left" vertical="top" wrapText="1"/>
    </xf>
    <xf numFmtId="0" fontId="11" fillId="5" borderId="46" xfId="0" applyFont="1" applyFill="1" applyBorder="1" applyAlignment="1">
      <alignment horizontal="left" vertical="top" wrapText="1"/>
    </xf>
    <xf numFmtId="0" fontId="79" fillId="0" borderId="0" xfId="0" applyFont="1" applyAlignment="1">
      <alignment horizontal="left" wrapText="1"/>
    </xf>
    <xf numFmtId="49" fontId="11" fillId="0" borderId="37" xfId="0" applyNumberFormat="1" applyFont="1" applyBorder="1" applyAlignment="1" applyProtection="1">
      <alignment horizontal="left"/>
      <protection locked="0"/>
    </xf>
    <xf numFmtId="49" fontId="11" fillId="0" borderId="38" xfId="0" applyNumberFormat="1" applyFont="1" applyBorder="1" applyAlignment="1" applyProtection="1">
      <alignment horizontal="left"/>
      <protection locked="0"/>
    </xf>
    <xf numFmtId="49" fontId="11" fillId="0" borderId="39" xfId="0" applyNumberFormat="1" applyFont="1" applyBorder="1" applyAlignment="1" applyProtection="1">
      <alignment horizontal="left"/>
      <protection locked="0"/>
    </xf>
    <xf numFmtId="0" fontId="68" fillId="0" borderId="0" xfId="0" applyFont="1" applyAlignment="1">
      <alignment horizontal="center"/>
    </xf>
    <xf numFmtId="0" fontId="68" fillId="0" borderId="0" xfId="0" applyFont="1" applyAlignment="1">
      <alignment horizontal="center" vertical="top" wrapText="1"/>
    </xf>
    <xf numFmtId="0" fontId="68" fillId="0" borderId="59" xfId="0" applyFont="1" applyBorder="1" applyAlignment="1">
      <alignment horizontal="left"/>
    </xf>
    <xf numFmtId="0" fontId="68" fillId="0" borderId="9" xfId="0" applyFont="1" applyBorder="1" applyAlignment="1">
      <alignment horizontal="left"/>
    </xf>
    <xf numFmtId="0" fontId="130" fillId="0" borderId="57" xfId="0" applyFont="1" applyBorder="1" applyAlignment="1">
      <alignment horizontal="center" vertical="top" wrapText="1"/>
    </xf>
    <xf numFmtId="0" fontId="130" fillId="0" borderId="0" xfId="0" applyFont="1" applyAlignment="1">
      <alignment horizontal="center" vertical="top" wrapText="1"/>
    </xf>
    <xf numFmtId="171" fontId="68" fillId="0" borderId="0" xfId="0" applyNumberFormat="1" applyFont="1" applyAlignment="1">
      <alignment horizontal="left"/>
    </xf>
    <xf numFmtId="0" fontId="73" fillId="5" borderId="59" xfId="0" applyFont="1" applyFill="1" applyBorder="1" applyAlignment="1">
      <alignment horizontal="left" vertical="center"/>
    </xf>
    <xf numFmtId="0" fontId="73" fillId="5" borderId="0" xfId="0" applyFont="1" applyFill="1" applyAlignment="1">
      <alignment horizontal="left" vertical="center"/>
    </xf>
    <xf numFmtId="0" fontId="25" fillId="5" borderId="0" xfId="0" applyFont="1" applyFill="1" applyAlignment="1">
      <alignment horizontal="right" vertical="center"/>
    </xf>
    <xf numFmtId="0" fontId="101" fillId="5" borderId="0" xfId="1" applyFont="1" applyFill="1" applyBorder="1" applyAlignment="1" applyProtection="1">
      <alignment horizontal="right" vertical="center"/>
      <protection hidden="1"/>
    </xf>
    <xf numFmtId="0" fontId="101" fillId="5" borderId="9" xfId="1" applyFont="1" applyFill="1" applyBorder="1" applyAlignment="1" applyProtection="1">
      <alignment horizontal="right" vertical="center"/>
      <protection hidden="1"/>
    </xf>
    <xf numFmtId="171" fontId="68" fillId="0" borderId="9" xfId="0" applyNumberFormat="1" applyFont="1" applyBorder="1" applyAlignment="1">
      <alignment horizontal="left"/>
    </xf>
    <xf numFmtId="0" fontId="66" fillId="5" borderId="60" xfId="0" applyFont="1" applyFill="1" applyBorder="1" applyAlignment="1">
      <alignment horizontal="left"/>
    </xf>
    <xf numFmtId="0" fontId="66" fillId="5" borderId="61" xfId="0" applyFont="1" applyFill="1" applyBorder="1" applyAlignment="1">
      <alignment horizontal="left"/>
    </xf>
    <xf numFmtId="167" fontId="66" fillId="5" borderId="61" xfId="0" applyNumberFormat="1" applyFont="1" applyFill="1" applyBorder="1"/>
    <xf numFmtId="167" fontId="66" fillId="5" borderId="62" xfId="0" applyNumberFormat="1" applyFont="1" applyFill="1" applyBorder="1"/>
    <xf numFmtId="0" fontId="80" fillId="0" borderId="65" xfId="1" applyFont="1" applyBorder="1" applyAlignment="1" applyProtection="1">
      <protection hidden="1"/>
    </xf>
    <xf numFmtId="0" fontId="80" fillId="0" borderId="66" xfId="1" applyFont="1" applyBorder="1" applyAlignment="1" applyProtection="1">
      <protection hidden="1"/>
    </xf>
    <xf numFmtId="0" fontId="68" fillId="0" borderId="66" xfId="0" applyFont="1" applyBorder="1" applyAlignment="1">
      <alignment horizontal="center"/>
    </xf>
    <xf numFmtId="167" fontId="68" fillId="0" borderId="66" xfId="0" applyNumberFormat="1" applyFont="1" applyBorder="1"/>
    <xf numFmtId="167" fontId="68" fillId="0" borderId="67" xfId="0" applyNumberFormat="1" applyFont="1" applyBorder="1"/>
    <xf numFmtId="0" fontId="66" fillId="2" borderId="59" xfId="0" applyFont="1" applyFill="1" applyBorder="1" applyAlignment="1">
      <alignment horizontal="left"/>
    </xf>
    <xf numFmtId="0" fontId="66" fillId="2" borderId="0" xfId="0" applyFont="1" applyFill="1" applyAlignment="1">
      <alignment horizontal="left"/>
    </xf>
    <xf numFmtId="0" fontId="66" fillId="2" borderId="9" xfId="0" applyFont="1" applyFill="1" applyBorder="1" applyAlignment="1">
      <alignment horizontal="left"/>
    </xf>
    <xf numFmtId="0" fontId="25" fillId="2" borderId="56" xfId="0" applyFont="1" applyFill="1" applyBorder="1" applyAlignment="1">
      <alignment horizontal="left"/>
    </xf>
    <xf numFmtId="0" fontId="25" fillId="2" borderId="57" xfId="0" applyFont="1" applyFill="1" applyBorder="1" applyAlignment="1">
      <alignment horizontal="left"/>
    </xf>
    <xf numFmtId="0" fontId="25" fillId="2" borderId="58" xfId="0" applyFont="1" applyFill="1" applyBorder="1" applyAlignment="1">
      <alignment horizontal="left"/>
    </xf>
    <xf numFmtId="0" fontId="80" fillId="0" borderId="170" xfId="1" applyFont="1" applyBorder="1" applyAlignment="1" applyProtection="1">
      <protection hidden="1"/>
    </xf>
    <xf numFmtId="0" fontId="80" fillId="0" borderId="171" xfId="1" applyFont="1" applyBorder="1" applyAlignment="1" applyProtection="1">
      <protection hidden="1"/>
    </xf>
    <xf numFmtId="0" fontId="68" fillId="0" borderId="171" xfId="0" applyFont="1" applyBorder="1" applyAlignment="1">
      <alignment horizontal="center"/>
    </xf>
    <xf numFmtId="167" fontId="68" fillId="0" borderId="171" xfId="0" applyNumberFormat="1" applyFont="1" applyBorder="1"/>
    <xf numFmtId="167" fontId="68" fillId="0" borderId="172" xfId="0" applyNumberFormat="1" applyFont="1" applyBorder="1"/>
    <xf numFmtId="0" fontId="68" fillId="0" borderId="68" xfId="0" applyFont="1" applyBorder="1" applyAlignment="1">
      <alignment horizontal="center"/>
    </xf>
    <xf numFmtId="0" fontId="131" fillId="2" borderId="59" xfId="0" applyFont="1" applyFill="1" applyBorder="1"/>
    <xf numFmtId="0" fontId="131" fillId="2" borderId="0" xfId="0" applyFont="1" applyFill="1"/>
    <xf numFmtId="0" fontId="131" fillId="2" borderId="0" xfId="0" applyFont="1" applyFill="1" applyAlignment="1">
      <alignment horizontal="center"/>
    </xf>
    <xf numFmtId="0" fontId="73" fillId="5" borderId="56" xfId="0" applyFont="1" applyFill="1" applyBorder="1" applyAlignment="1">
      <alignment horizontal="left"/>
    </xf>
    <xf numFmtId="0" fontId="73" fillId="5" borderId="57" xfId="0" applyFont="1" applyFill="1" applyBorder="1" applyAlignment="1">
      <alignment horizontal="left"/>
    </xf>
    <xf numFmtId="0" fontId="25" fillId="5" borderId="57" xfId="0" applyFont="1" applyFill="1" applyBorder="1" applyAlignment="1">
      <alignment horizontal="right" vertical="center"/>
    </xf>
    <xf numFmtId="0" fontId="25" fillId="5" borderId="58" xfId="0" applyFont="1" applyFill="1" applyBorder="1" applyAlignment="1">
      <alignment horizontal="right" vertical="center"/>
    </xf>
    <xf numFmtId="0" fontId="131" fillId="2" borderId="63" xfId="0" applyFont="1" applyFill="1" applyBorder="1" applyAlignment="1">
      <alignment horizontal="right"/>
    </xf>
    <xf numFmtId="0" fontId="131" fillId="2" borderId="64" xfId="0" applyFont="1" applyFill="1" applyBorder="1" applyAlignment="1">
      <alignment horizontal="right"/>
    </xf>
    <xf numFmtId="0" fontId="73" fillId="5" borderId="56" xfId="0" applyFont="1" applyFill="1" applyBorder="1" applyAlignment="1">
      <alignment horizontal="left" vertical="center"/>
    </xf>
    <xf numFmtId="0" fontId="73" fillId="5" borderId="57" xfId="0" applyFont="1" applyFill="1" applyBorder="1" applyAlignment="1">
      <alignment horizontal="left" vertical="center"/>
    </xf>
    <xf numFmtId="0" fontId="101" fillId="5" borderId="57" xfId="1" applyFont="1" applyFill="1" applyBorder="1" applyAlignment="1" applyProtection="1">
      <alignment horizontal="right" vertical="center"/>
      <protection hidden="1"/>
    </xf>
    <xf numFmtId="0" fontId="101" fillId="5" borderId="58" xfId="1" applyFont="1" applyFill="1" applyBorder="1" applyAlignment="1" applyProtection="1">
      <alignment horizontal="right" vertical="center"/>
      <protection hidden="1"/>
    </xf>
    <xf numFmtId="14" fontId="68" fillId="0" borderId="0" xfId="0" applyNumberFormat="1" applyFont="1" applyAlignment="1">
      <alignment horizontal="left"/>
    </xf>
    <xf numFmtId="14" fontId="68" fillId="0" borderId="9" xfId="0" applyNumberFormat="1" applyFont="1" applyBorder="1" applyAlignment="1">
      <alignment horizontal="left"/>
    </xf>
    <xf numFmtId="0" fontId="131" fillId="2" borderId="0" xfId="0" applyFont="1" applyFill="1" applyAlignment="1">
      <alignment horizontal="right"/>
    </xf>
    <xf numFmtId="0" fontId="131" fillId="2" borderId="9" xfId="0" applyFont="1" applyFill="1" applyBorder="1" applyAlignment="1">
      <alignment horizontal="right"/>
    </xf>
    <xf numFmtId="0" fontId="11" fillId="0" borderId="0" xfId="0" applyFont="1" applyAlignment="1">
      <alignment horizontal="left" vertical="top" wrapText="1"/>
    </xf>
    <xf numFmtId="0" fontId="11" fillId="0" borderId="82" xfId="0" applyFont="1" applyBorder="1" applyAlignment="1">
      <alignment horizontal="left" vertical="top" wrapText="1"/>
    </xf>
    <xf numFmtId="0" fontId="11" fillId="0" borderId="84" xfId="0" applyFont="1" applyBorder="1" applyAlignment="1">
      <alignment horizontal="left" vertical="top" wrapText="1"/>
    </xf>
    <xf numFmtId="0" fontId="11" fillId="0" borderId="85" xfId="0" applyFont="1" applyBorder="1" applyAlignment="1">
      <alignment horizontal="left" vertical="top" wrapText="1"/>
    </xf>
    <xf numFmtId="0" fontId="11" fillId="0" borderId="0" xfId="0" applyFont="1"/>
    <xf numFmtId="0" fontId="11" fillId="0" borderId="82" xfId="0" applyFont="1" applyBorder="1"/>
    <xf numFmtId="0" fontId="98" fillId="31" borderId="89" xfId="0" applyFont="1" applyFill="1" applyBorder="1" applyAlignment="1">
      <alignment horizontal="left"/>
    </xf>
    <xf numFmtId="0" fontId="98" fillId="31" borderId="90" xfId="0" applyFont="1" applyFill="1" applyBorder="1" applyAlignment="1">
      <alignment horizontal="left"/>
    </xf>
    <xf numFmtId="0" fontId="98" fillId="31" borderId="91" xfId="0" applyFont="1" applyFill="1" applyBorder="1" applyAlignment="1">
      <alignment horizontal="left"/>
    </xf>
    <xf numFmtId="0" fontId="98" fillId="31" borderId="86" xfId="0" applyFont="1" applyFill="1" applyBorder="1" applyAlignment="1">
      <alignment horizontal="left"/>
    </xf>
    <xf numFmtId="0" fontId="98" fillId="31" borderId="87" xfId="0" applyFont="1" applyFill="1" applyBorder="1" applyAlignment="1">
      <alignment horizontal="left"/>
    </xf>
    <xf numFmtId="0" fontId="98" fillId="31" borderId="88" xfId="0" applyFont="1" applyFill="1" applyBorder="1" applyAlignment="1">
      <alignment horizontal="left"/>
    </xf>
    <xf numFmtId="0" fontId="99" fillId="0" borderId="0" xfId="0" applyFont="1" applyAlignment="1">
      <alignment horizontal="left" vertical="top" wrapText="1"/>
    </xf>
    <xf numFmtId="0" fontId="77" fillId="32" borderId="0" xfId="1" applyFont="1" applyFill="1" applyAlignment="1" applyProtection="1">
      <alignment horizontal="center" vertical="center"/>
      <protection locked="0" hidden="1"/>
    </xf>
    <xf numFmtId="0" fontId="122" fillId="0" borderId="24" xfId="0" applyFont="1" applyBorder="1" applyAlignment="1">
      <alignment horizontal="left"/>
    </xf>
    <xf numFmtId="0" fontId="122" fillId="0" borderId="0" xfId="0" applyFont="1" applyAlignment="1">
      <alignment horizontal="left"/>
    </xf>
    <xf numFmtId="0" fontId="32" fillId="0" borderId="0" xfId="0" applyFont="1" applyAlignment="1">
      <alignment horizontal="center"/>
    </xf>
    <xf numFmtId="0" fontId="28" fillId="0" borderId="0" xfId="0" applyFont="1" applyAlignment="1">
      <alignment horizontal="center" vertical="center" wrapText="1"/>
    </xf>
    <xf numFmtId="0" fontId="14" fillId="33" borderId="112" xfId="0" applyFont="1" applyFill="1" applyBorder="1" applyAlignment="1">
      <alignment horizontal="left" vertical="center" indent="1"/>
    </xf>
    <xf numFmtId="0" fontId="14" fillId="33" borderId="113" xfId="0" applyFont="1" applyFill="1" applyBorder="1" applyAlignment="1">
      <alignment horizontal="left" vertical="center" indent="1"/>
    </xf>
    <xf numFmtId="0" fontId="14" fillId="33" borderId="114" xfId="0" applyFont="1" applyFill="1" applyBorder="1" applyAlignment="1">
      <alignment horizontal="left" vertical="center" indent="1"/>
    </xf>
    <xf numFmtId="0" fontId="14" fillId="33" borderId="115" xfId="0" applyFont="1" applyFill="1" applyBorder="1" applyAlignment="1">
      <alignment horizontal="left" vertical="center" indent="1"/>
    </xf>
    <xf numFmtId="0" fontId="14" fillId="33" borderId="116" xfId="0" applyFont="1" applyFill="1" applyBorder="1" applyAlignment="1">
      <alignment horizontal="left" vertical="center" indent="1"/>
    </xf>
    <xf numFmtId="0" fontId="14" fillId="33" borderId="117" xfId="0" applyFont="1" applyFill="1" applyBorder="1" applyAlignment="1">
      <alignment horizontal="left" vertical="center" indent="1"/>
    </xf>
    <xf numFmtId="0" fontId="48" fillId="0" borderId="0" xfId="0" applyFont="1" applyAlignment="1">
      <alignment horizontal="center" vertical="center" wrapText="1"/>
    </xf>
    <xf numFmtId="0" fontId="48" fillId="0" borderId="0" xfId="0" applyFont="1" applyAlignment="1">
      <alignment horizontal="center" vertical="center"/>
    </xf>
    <xf numFmtId="0" fontId="48" fillId="0" borderId="0" xfId="0" applyFont="1" applyAlignment="1">
      <alignment horizontal="center"/>
    </xf>
    <xf numFmtId="2" fontId="48" fillId="0" borderId="0" xfId="0" applyNumberFormat="1" applyFont="1" applyAlignment="1">
      <alignment horizontal="center" vertical="center"/>
    </xf>
    <xf numFmtId="0" fontId="55" fillId="0" borderId="0" xfId="0" applyFont="1" applyAlignment="1">
      <alignment horizontal="center"/>
    </xf>
    <xf numFmtId="170" fontId="45" fillId="0" borderId="0" xfId="0" applyNumberFormat="1" applyFont="1" applyAlignment="1">
      <alignment horizontal="center" vertical="top"/>
    </xf>
    <xf numFmtId="0" fontId="54" fillId="0" borderId="0" xfId="0" applyFont="1" applyAlignment="1">
      <alignment horizontal="center" vertical="center"/>
    </xf>
    <xf numFmtId="176" fontId="53" fillId="0" borderId="0" xfId="0" applyNumberFormat="1" applyFont="1" applyAlignment="1">
      <alignment horizontal="center" vertical="center" wrapText="1"/>
    </xf>
    <xf numFmtId="0" fontId="44" fillId="0" borderId="25" xfId="0" applyFont="1" applyBorder="1" applyAlignment="1">
      <alignment horizontal="right" vertical="center" indent="1"/>
    </xf>
    <xf numFmtId="0" fontId="44" fillId="0" borderId="23" xfId="0" applyFont="1" applyBorder="1" applyAlignment="1">
      <alignment horizontal="right" vertical="center" indent="1"/>
    </xf>
    <xf numFmtId="9" fontId="35" fillId="15" borderId="16" xfId="0" applyNumberFormat="1" applyFont="1" applyFill="1" applyBorder="1" applyAlignment="1">
      <alignment horizontal="center" vertical="center"/>
    </xf>
    <xf numFmtId="9" fontId="105" fillId="32" borderId="16" xfId="0" applyNumberFormat="1" applyFont="1" applyFill="1" applyBorder="1" applyAlignment="1">
      <alignment horizontal="center" vertical="center"/>
    </xf>
    <xf numFmtId="0" fontId="44" fillId="0" borderId="0" xfId="0" applyFont="1" applyAlignment="1">
      <alignment horizontal="right" vertical="center" indent="1"/>
    </xf>
    <xf numFmtId="2" fontId="35" fillId="15" borderId="16" xfId="0" applyNumberFormat="1" applyFont="1" applyFill="1" applyBorder="1" applyAlignment="1">
      <alignment horizontal="center" vertical="center"/>
    </xf>
    <xf numFmtId="2" fontId="105" fillId="32" borderId="16" xfId="0" applyNumberFormat="1" applyFont="1" applyFill="1" applyBorder="1" applyAlignment="1">
      <alignment horizontal="center" vertical="center"/>
    </xf>
    <xf numFmtId="0" fontId="35" fillId="15" borderId="16" xfId="0" applyFont="1" applyFill="1" applyBorder="1" applyAlignment="1">
      <alignment horizontal="center" vertical="center"/>
    </xf>
    <xf numFmtId="0" fontId="105" fillId="32" borderId="16" xfId="0" applyFont="1" applyFill="1" applyBorder="1" applyAlignment="1">
      <alignment horizontal="center" vertical="center"/>
    </xf>
    <xf numFmtId="167" fontId="35" fillId="15" borderId="16" xfId="0" applyNumberFormat="1" applyFont="1" applyFill="1" applyBorder="1" applyAlignment="1">
      <alignment horizontal="center" vertical="center"/>
    </xf>
    <xf numFmtId="167" fontId="105" fillId="32" borderId="16" xfId="0" applyNumberFormat="1" applyFont="1" applyFill="1" applyBorder="1" applyAlignment="1">
      <alignment horizontal="center" vertical="center"/>
    </xf>
    <xf numFmtId="0" fontId="105" fillId="32" borderId="19" xfId="0" applyFont="1" applyFill="1" applyBorder="1" applyAlignment="1">
      <alignment horizontal="left" vertical="center"/>
    </xf>
    <xf numFmtId="0" fontId="105" fillId="32" borderId="16" xfId="0" applyFont="1" applyFill="1" applyBorder="1" applyAlignment="1">
      <alignment horizontal="left" vertical="center"/>
    </xf>
    <xf numFmtId="167" fontId="45" fillId="0" borderId="0" xfId="0" applyNumberFormat="1" applyFont="1" applyAlignment="1">
      <alignment horizontal="center"/>
    </xf>
    <xf numFmtId="0" fontId="46" fillId="0" borderId="0" xfId="0" applyFont="1" applyAlignment="1">
      <alignment horizontal="center" vertical="center"/>
    </xf>
    <xf numFmtId="0" fontId="35" fillId="0" borderId="0" xfId="0" applyFont="1" applyAlignment="1">
      <alignment horizontal="left"/>
    </xf>
    <xf numFmtId="171" fontId="35" fillId="0" borderId="0" xfId="0" applyNumberFormat="1" applyFont="1" applyAlignment="1">
      <alignment horizontal="left"/>
    </xf>
    <xf numFmtId="0" fontId="132" fillId="31" borderId="0" xfId="0" applyFont="1" applyFill="1" applyAlignment="1" applyProtection="1">
      <alignment horizontal="right" vertical="center" wrapText="1" indent="1"/>
      <protection hidden="1"/>
    </xf>
    <xf numFmtId="0" fontId="115" fillId="0" borderId="0" xfId="0" applyFont="1" applyAlignment="1">
      <alignment horizontal="center" vertical="center" wrapText="1"/>
    </xf>
    <xf numFmtId="0" fontId="56" fillId="4" borderId="0" xfId="0" applyFont="1" applyFill="1" applyAlignment="1">
      <alignment horizontal="left" vertical="center"/>
    </xf>
    <xf numFmtId="0" fontId="104" fillId="0" borderId="0" xfId="0" applyFont="1" applyAlignment="1">
      <alignment horizontal="left" vertical="center"/>
    </xf>
    <xf numFmtId="0" fontId="91" fillId="21" borderId="0" xfId="0" applyFont="1" applyFill="1" applyAlignment="1" applyProtection="1">
      <alignment horizontal="center" wrapText="1"/>
      <protection locked="0"/>
    </xf>
    <xf numFmtId="0" fontId="91" fillId="21" borderId="11" xfId="0" applyFont="1" applyFill="1" applyBorder="1" applyAlignment="1" applyProtection="1">
      <alignment horizontal="center" wrapText="1"/>
      <protection locked="0"/>
    </xf>
    <xf numFmtId="14" fontId="91" fillId="21" borderId="0" xfId="0" applyNumberFormat="1" applyFont="1" applyFill="1" applyAlignment="1" applyProtection="1">
      <alignment horizontal="center" wrapText="1"/>
      <protection locked="0"/>
    </xf>
    <xf numFmtId="14" fontId="91" fillId="21" borderId="11" xfId="0" applyNumberFormat="1" applyFont="1" applyFill="1" applyBorder="1" applyAlignment="1" applyProtection="1">
      <alignment horizontal="center" wrapText="1"/>
      <protection locked="0"/>
    </xf>
    <xf numFmtId="14" fontId="13" fillId="21" borderId="0" xfId="0" applyNumberFormat="1" applyFont="1" applyFill="1" applyAlignment="1" applyProtection="1">
      <alignment horizontal="center" wrapText="1"/>
      <protection locked="0" hidden="1"/>
    </xf>
    <xf numFmtId="14" fontId="13" fillId="21" borderId="11" xfId="0" applyNumberFormat="1" applyFont="1" applyFill="1" applyBorder="1" applyAlignment="1" applyProtection="1">
      <alignment horizontal="center" wrapText="1"/>
      <protection locked="0" hidden="1"/>
    </xf>
    <xf numFmtId="0" fontId="92" fillId="0" borderId="0" xfId="0" applyFont="1" applyAlignment="1">
      <alignment horizontal="left" vertical="center" wrapText="1"/>
    </xf>
    <xf numFmtId="0" fontId="26" fillId="30" borderId="0" xfId="0" applyFont="1" applyFill="1" applyAlignment="1">
      <alignment horizontal="center" vertical="center"/>
    </xf>
    <xf numFmtId="49" fontId="87" fillId="21" borderId="0" xfId="0" applyNumberFormat="1" applyFont="1" applyFill="1" applyAlignment="1">
      <alignment horizontal="center" vertical="center" wrapText="1"/>
    </xf>
    <xf numFmtId="0" fontId="87" fillId="21" borderId="0" xfId="0" applyFont="1" applyFill="1" applyAlignment="1">
      <alignment horizontal="center" vertical="center" wrapText="1"/>
    </xf>
    <xf numFmtId="0" fontId="13" fillId="21" borderId="0" xfId="0" applyFont="1" applyFill="1" applyAlignment="1">
      <alignment horizontal="left" wrapText="1"/>
    </xf>
    <xf numFmtId="0" fontId="127" fillId="21" borderId="0" xfId="0" applyFont="1" applyFill="1" applyAlignment="1">
      <alignment horizontal="left" vertical="top" wrapText="1"/>
    </xf>
    <xf numFmtId="0" fontId="128" fillId="0" borderId="0" xfId="0" applyFont="1" applyAlignment="1">
      <alignment horizontal="center" vertical="center"/>
    </xf>
    <xf numFmtId="0" fontId="11" fillId="21" borderId="0" xfId="0" applyFont="1" applyFill="1" applyAlignment="1">
      <alignment horizontal="center" vertical="top" wrapText="1"/>
    </xf>
    <xf numFmtId="0" fontId="87" fillId="21" borderId="0" xfId="0" applyFont="1" applyFill="1" applyAlignment="1">
      <alignment horizontal="center"/>
    </xf>
    <xf numFmtId="0" fontId="11" fillId="21" borderId="0" xfId="2" applyFont="1" applyFill="1" applyAlignment="1" applyProtection="1">
      <alignment horizontal="left" vertical="top"/>
      <protection hidden="1"/>
    </xf>
    <xf numFmtId="0" fontId="90" fillId="21" borderId="0" xfId="2" applyFont="1" applyFill="1" applyAlignment="1" applyProtection="1">
      <alignment horizontal="left" vertical="top"/>
      <protection hidden="1"/>
    </xf>
    <xf numFmtId="14" fontId="11" fillId="21" borderId="0" xfId="2" applyNumberFormat="1" applyFont="1" applyFill="1" applyAlignment="1" applyProtection="1">
      <alignment horizontal="left" vertical="top"/>
      <protection hidden="1"/>
    </xf>
    <xf numFmtId="0" fontId="89" fillId="21" borderId="0" xfId="2" applyFont="1" applyFill="1" applyAlignment="1" applyProtection="1">
      <alignment horizontal="left" vertical="center" wrapText="1"/>
      <protection hidden="1"/>
    </xf>
    <xf numFmtId="0" fontId="11" fillId="21" borderId="0" xfId="0" applyFont="1" applyFill="1" applyAlignment="1">
      <alignment horizontal="left" vertical="top" wrapText="1"/>
    </xf>
    <xf numFmtId="0" fontId="81" fillId="21" borderId="0" xfId="0" applyFont="1" applyFill="1" applyAlignment="1">
      <alignment horizontal="left" vertical="top"/>
    </xf>
    <xf numFmtId="0" fontId="81" fillId="21" borderId="0" xfId="0" applyFont="1" applyFill="1" applyAlignment="1">
      <alignment horizontal="right" vertical="top"/>
    </xf>
    <xf numFmtId="0" fontId="13" fillId="21" borderId="175" xfId="0" applyFont="1" applyFill="1" applyBorder="1" applyAlignment="1">
      <alignment horizontal="left" vertical="top"/>
    </xf>
    <xf numFmtId="0" fontId="13" fillId="21" borderId="77" xfId="0" applyFont="1" applyFill="1" applyBorder="1" applyAlignment="1">
      <alignment horizontal="left" vertical="top"/>
    </xf>
    <xf numFmtId="167" fontId="81" fillId="21" borderId="79" xfId="0" applyNumberFormat="1" applyFont="1" applyFill="1" applyBorder="1" applyAlignment="1">
      <alignment vertical="top"/>
    </xf>
    <xf numFmtId="167" fontId="81" fillId="21" borderId="173" xfId="0" applyNumberFormat="1" applyFont="1" applyFill="1" applyBorder="1" applyAlignment="1">
      <alignment vertical="top"/>
    </xf>
    <xf numFmtId="170" fontId="13" fillId="21" borderId="78" xfId="0" applyNumberFormat="1" applyFont="1" applyFill="1" applyBorder="1" applyAlignment="1">
      <alignment vertical="top"/>
    </xf>
    <xf numFmtId="170" fontId="13" fillId="21" borderId="175" xfId="0" applyNumberFormat="1" applyFont="1" applyFill="1" applyBorder="1" applyAlignment="1">
      <alignment vertical="top"/>
    </xf>
    <xf numFmtId="170" fontId="13" fillId="21" borderId="77" xfId="0" applyNumberFormat="1" applyFont="1" applyFill="1" applyBorder="1" applyAlignment="1">
      <alignment vertical="top"/>
    </xf>
    <xf numFmtId="167" fontId="13" fillId="21" borderId="78" xfId="0" applyNumberFormat="1" applyFont="1" applyFill="1" applyBorder="1" applyAlignment="1">
      <alignment vertical="top"/>
    </xf>
    <xf numFmtId="167" fontId="13" fillId="21" borderId="175" xfId="0" applyNumberFormat="1" applyFont="1" applyFill="1" applyBorder="1" applyAlignment="1">
      <alignment vertical="top"/>
    </xf>
    <xf numFmtId="167" fontId="13" fillId="21" borderId="77" xfId="0" applyNumberFormat="1" applyFont="1" applyFill="1" applyBorder="1" applyAlignment="1">
      <alignment vertical="top"/>
    </xf>
    <xf numFmtId="0" fontId="81" fillId="21" borderId="176" xfId="0" applyFont="1" applyFill="1" applyBorder="1" applyAlignment="1">
      <alignment horizontal="left" vertical="top"/>
    </xf>
    <xf numFmtId="0" fontId="81" fillId="21" borderId="177" xfId="0" applyFont="1" applyFill="1" applyBorder="1" applyAlignment="1">
      <alignment horizontal="left" vertical="top"/>
    </xf>
    <xf numFmtId="170" fontId="81" fillId="21" borderId="79" xfId="0" applyNumberFormat="1" applyFont="1" applyFill="1" applyBorder="1" applyAlignment="1">
      <alignment vertical="top"/>
    </xf>
    <xf numFmtId="170" fontId="81" fillId="21" borderId="173" xfId="0" applyNumberFormat="1" applyFont="1" applyFill="1" applyBorder="1" applyAlignment="1">
      <alignment vertical="top"/>
    </xf>
    <xf numFmtId="170" fontId="81" fillId="21" borderId="174" xfId="0" applyNumberFormat="1" applyFont="1" applyFill="1" applyBorder="1" applyAlignment="1">
      <alignment vertical="top"/>
    </xf>
    <xf numFmtId="167" fontId="81" fillId="21" borderId="174" xfId="0" applyNumberFormat="1" applyFont="1" applyFill="1" applyBorder="1" applyAlignment="1">
      <alignment vertical="top"/>
    </xf>
    <xf numFmtId="0" fontId="102" fillId="21" borderId="0" xfId="0" applyFont="1" applyFill="1" applyAlignment="1">
      <alignment horizontal="center" vertical="center" wrapText="1"/>
    </xf>
    <xf numFmtId="0" fontId="10" fillId="21" borderId="0" xfId="0" applyFont="1" applyFill="1" applyAlignment="1">
      <alignment vertical="top"/>
    </xf>
    <xf numFmtId="0" fontId="10" fillId="21" borderId="0" xfId="0" applyFont="1" applyFill="1" applyAlignment="1">
      <alignment horizontal="left" vertical="top"/>
    </xf>
    <xf numFmtId="0" fontId="11" fillId="21" borderId="0" xfId="0" applyFont="1" applyFill="1" applyAlignment="1">
      <alignment horizontal="left" vertical="top"/>
    </xf>
    <xf numFmtId="171" fontId="11" fillId="21" borderId="0" xfId="0" applyNumberFormat="1" applyFont="1" applyFill="1" applyAlignment="1">
      <alignment horizontal="left" vertical="top"/>
    </xf>
    <xf numFmtId="0" fontId="35" fillId="0" borderId="0" xfId="0" applyFont="1" applyAlignment="1">
      <alignment horizontal="center" vertical="top" wrapText="1"/>
    </xf>
    <xf numFmtId="0" fontId="13" fillId="21" borderId="0" xfId="0" applyFont="1" applyFill="1" applyAlignment="1">
      <alignment horizontal="left" vertical="top" wrapText="1"/>
    </xf>
    <xf numFmtId="171" fontId="13" fillId="21" borderId="0" xfId="0" applyNumberFormat="1" applyFont="1" applyFill="1" applyAlignment="1">
      <alignment horizontal="left" vertical="top" wrapText="1"/>
    </xf>
    <xf numFmtId="0" fontId="85" fillId="30" borderId="0" xfId="0" applyFont="1" applyFill="1" applyAlignment="1">
      <alignment horizontal="left"/>
    </xf>
    <xf numFmtId="0" fontId="85" fillId="30" borderId="0" xfId="0" applyFont="1" applyFill="1" applyAlignment="1">
      <alignment horizontal="right"/>
    </xf>
    <xf numFmtId="0" fontId="86" fillId="32" borderId="0" xfId="0" applyFont="1" applyFill="1" applyAlignment="1">
      <alignment horizontal="left" vertical="center"/>
    </xf>
    <xf numFmtId="0" fontId="86" fillId="32" borderId="0" xfId="0" applyFont="1" applyFill="1" applyAlignment="1">
      <alignment horizontal="right" vertical="center"/>
    </xf>
    <xf numFmtId="0" fontId="45" fillId="21" borderId="0" xfId="0" applyFont="1" applyFill="1" applyAlignment="1">
      <alignment horizontal="center" vertical="center" wrapText="1"/>
    </xf>
    <xf numFmtId="0" fontId="81" fillId="21" borderId="0" xfId="0" applyFont="1" applyFill="1" applyAlignment="1">
      <alignment vertical="top" wrapText="1"/>
    </xf>
    <xf numFmtId="0" fontId="81" fillId="21" borderId="0" xfId="0" applyFont="1" applyFill="1" applyAlignment="1">
      <alignment horizontal="left" vertical="top" wrapText="1"/>
    </xf>
    <xf numFmtId="0" fontId="13" fillId="21" borderId="0" xfId="0" applyFont="1" applyFill="1" applyAlignment="1">
      <alignment vertical="top"/>
    </xf>
    <xf numFmtId="0" fontId="13" fillId="21" borderId="0" xfId="0" applyFont="1" applyFill="1" applyAlignment="1">
      <alignment horizontal="left" vertical="top"/>
    </xf>
    <xf numFmtId="0" fontId="87" fillId="21" borderId="0" xfId="0" applyFont="1" applyFill="1" applyAlignment="1">
      <alignment horizontal="center" wrapText="1"/>
    </xf>
    <xf numFmtId="0" fontId="13" fillId="21" borderId="0" xfId="0" applyFont="1" applyFill="1" applyAlignment="1">
      <alignment horizontal="left" vertical="center"/>
    </xf>
    <xf numFmtId="0" fontId="13" fillId="21" borderId="93" xfId="0" applyFont="1" applyFill="1" applyBorder="1" applyAlignment="1">
      <alignment horizontal="left" vertical="top"/>
    </xf>
    <xf numFmtId="167" fontId="13" fillId="21" borderId="94" xfId="0" applyNumberFormat="1" applyFont="1" applyFill="1" applyBorder="1" applyAlignment="1">
      <alignment vertical="top"/>
    </xf>
    <xf numFmtId="167" fontId="13" fillId="21" borderId="80" xfId="0" applyNumberFormat="1" applyFont="1" applyFill="1" applyBorder="1" applyAlignment="1">
      <alignment vertical="top"/>
    </xf>
    <xf numFmtId="0" fontId="81" fillId="21" borderId="77" xfId="0" applyFont="1" applyFill="1" applyBorder="1" applyAlignment="1">
      <alignment horizontal="left" vertical="top"/>
    </xf>
    <xf numFmtId="0" fontId="81" fillId="21" borderId="93" xfId="0" applyFont="1" applyFill="1" applyBorder="1" applyAlignment="1">
      <alignment horizontal="left" vertical="top"/>
    </xf>
    <xf numFmtId="170" fontId="81" fillId="21" borderId="95" xfId="0" applyNumberFormat="1" applyFont="1" applyFill="1" applyBorder="1" applyAlignment="1">
      <alignment vertical="top"/>
    </xf>
    <xf numFmtId="167" fontId="81" fillId="21" borderId="95" xfId="0" applyNumberFormat="1" applyFont="1" applyFill="1" applyBorder="1" applyAlignment="1">
      <alignment vertical="top"/>
    </xf>
    <xf numFmtId="170" fontId="13" fillId="21" borderId="94" xfId="0" applyNumberFormat="1" applyFont="1" applyFill="1" applyBorder="1" applyAlignment="1">
      <alignment vertical="top"/>
    </xf>
    <xf numFmtId="0" fontId="11" fillId="12" borderId="17" xfId="0" applyFont="1" applyFill="1" applyBorder="1" applyAlignment="1">
      <alignment horizontal="center" vertical="top"/>
    </xf>
    <xf numFmtId="0" fontId="11" fillId="12" borderId="18" xfId="0" applyFont="1" applyFill="1" applyBorder="1" applyAlignment="1">
      <alignment horizontal="center" vertical="top"/>
    </xf>
    <xf numFmtId="0" fontId="11" fillId="12" borderId="19" xfId="0" applyFont="1" applyFill="1" applyBorder="1" applyAlignment="1">
      <alignment horizontal="center" vertical="top"/>
    </xf>
    <xf numFmtId="0" fontId="11" fillId="12" borderId="17" xfId="0" applyFont="1" applyFill="1" applyBorder="1" applyAlignment="1" applyProtection="1">
      <alignment horizontal="left"/>
      <protection hidden="1"/>
    </xf>
    <xf numFmtId="0" fontId="11" fillId="12" borderId="18" xfId="0" applyFont="1" applyFill="1" applyBorder="1" applyAlignment="1" applyProtection="1">
      <alignment horizontal="left"/>
      <protection hidden="1"/>
    </xf>
    <xf numFmtId="0" fontId="11" fillId="12" borderId="19" xfId="0" applyFont="1" applyFill="1" applyBorder="1" applyAlignment="1" applyProtection="1">
      <alignment horizontal="left"/>
      <protection hidden="1"/>
    </xf>
    <xf numFmtId="0" fontId="11" fillId="27" borderId="16" xfId="0" applyFont="1" applyFill="1" applyBorder="1" applyProtection="1">
      <protection hidden="1"/>
    </xf>
    <xf numFmtId="0" fontId="11" fillId="27" borderId="16" xfId="0" applyFont="1" applyFill="1" applyBorder="1" applyAlignment="1">
      <alignment horizontal="left" vertical="top"/>
    </xf>
    <xf numFmtId="0" fontId="13" fillId="5" borderId="17" xfId="0" applyFont="1" applyFill="1" applyBorder="1" applyProtection="1">
      <protection hidden="1"/>
    </xf>
    <xf numFmtId="0" fontId="13" fillId="5" borderId="18" xfId="0" applyFont="1" applyFill="1" applyBorder="1" applyProtection="1">
      <protection hidden="1"/>
    </xf>
    <xf numFmtId="0" fontId="13" fillId="5" borderId="19" xfId="0" applyFont="1" applyFill="1" applyBorder="1" applyProtection="1">
      <protection hidden="1"/>
    </xf>
    <xf numFmtId="167" fontId="13" fillId="5" borderId="17" xfId="0" applyNumberFormat="1" applyFont="1" applyFill="1" applyBorder="1" applyAlignment="1" applyProtection="1">
      <alignment horizontal="left" vertical="top"/>
      <protection hidden="1"/>
    </xf>
    <xf numFmtId="167" fontId="13" fillId="5" borderId="18" xfId="0" applyNumberFormat="1" applyFont="1" applyFill="1" applyBorder="1" applyAlignment="1" applyProtection="1">
      <alignment horizontal="left" vertical="top"/>
      <protection hidden="1"/>
    </xf>
    <xf numFmtId="167" fontId="13" fillId="5" borderId="19" xfId="0" applyNumberFormat="1" applyFont="1" applyFill="1" applyBorder="1" applyAlignment="1" applyProtection="1">
      <alignment horizontal="left" vertical="top"/>
      <protection hidden="1"/>
    </xf>
    <xf numFmtId="0" fontId="11" fillId="7" borderId="0" xfId="0" applyFont="1" applyFill="1" applyAlignment="1" applyProtection="1">
      <alignment horizontal="left" vertical="top" wrapText="1"/>
      <protection hidden="1"/>
    </xf>
    <xf numFmtId="0" fontId="27" fillId="6" borderId="136" xfId="0" applyFont="1" applyFill="1" applyBorder="1" applyAlignment="1" applyProtection="1">
      <alignment horizontal="left" vertical="center"/>
      <protection hidden="1"/>
    </xf>
    <xf numFmtId="0" fontId="27" fillId="6" borderId="0" xfId="0" applyFont="1" applyFill="1" applyAlignment="1" applyProtection="1">
      <alignment horizontal="left" vertical="center"/>
      <protection hidden="1"/>
    </xf>
    <xf numFmtId="167" fontId="13" fillId="5" borderId="16" xfId="0" applyNumberFormat="1" applyFont="1" applyFill="1" applyBorder="1" applyAlignment="1" applyProtection="1">
      <alignment horizontal="left" vertical="top"/>
      <protection hidden="1"/>
    </xf>
    <xf numFmtId="170" fontId="13" fillId="5" borderId="16" xfId="0" applyNumberFormat="1" applyFont="1" applyFill="1" applyBorder="1" applyAlignment="1" applyProtection="1">
      <alignment horizontal="left" vertical="top"/>
      <protection hidden="1"/>
    </xf>
    <xf numFmtId="187" fontId="13" fillId="5" borderId="16" xfId="0" applyNumberFormat="1" applyFont="1" applyFill="1" applyBorder="1" applyAlignment="1" applyProtection="1">
      <alignment horizontal="left" vertical="top"/>
      <protection hidden="1"/>
    </xf>
    <xf numFmtId="169" fontId="13" fillId="5" borderId="16" xfId="0" applyNumberFormat="1" applyFont="1" applyFill="1" applyBorder="1" applyAlignment="1" applyProtection="1">
      <alignment horizontal="left" vertical="top"/>
      <protection hidden="1"/>
    </xf>
    <xf numFmtId="0" fontId="13" fillId="5" borderId="16" xfId="0" applyFont="1" applyFill="1" applyBorder="1" applyProtection="1">
      <protection hidden="1"/>
    </xf>
    <xf numFmtId="173" fontId="13" fillId="5" borderId="17" xfId="0" applyNumberFormat="1" applyFont="1" applyFill="1" applyBorder="1" applyAlignment="1" applyProtection="1">
      <alignment horizontal="left" vertical="top"/>
      <protection hidden="1"/>
    </xf>
    <xf numFmtId="173" fontId="13" fillId="5" borderId="18" xfId="0" applyNumberFormat="1" applyFont="1" applyFill="1" applyBorder="1" applyAlignment="1" applyProtection="1">
      <alignment horizontal="left" vertical="top"/>
      <protection hidden="1"/>
    </xf>
    <xf numFmtId="173" fontId="13" fillId="5" borderId="19" xfId="0" applyNumberFormat="1" applyFont="1" applyFill="1" applyBorder="1" applyAlignment="1" applyProtection="1">
      <alignment horizontal="left" vertical="top"/>
      <protection hidden="1"/>
    </xf>
    <xf numFmtId="0" fontId="11" fillId="12" borderId="16" xfId="0" applyFont="1" applyFill="1" applyBorder="1" applyAlignment="1">
      <alignment horizontal="left" vertical="top"/>
    </xf>
    <xf numFmtId="0" fontId="11" fillId="27" borderId="17" xfId="0" applyFont="1" applyFill="1" applyBorder="1" applyAlignment="1">
      <alignment horizontal="left" vertical="top"/>
    </xf>
    <xf numFmtId="0" fontId="11" fillId="27" borderId="18" xfId="0" applyFont="1" applyFill="1" applyBorder="1" applyAlignment="1">
      <alignment horizontal="left" vertical="top"/>
    </xf>
    <xf numFmtId="0" fontId="11" fillId="27" borderId="19" xfId="0" applyFont="1" applyFill="1" applyBorder="1" applyAlignment="1">
      <alignment horizontal="left" vertical="top"/>
    </xf>
    <xf numFmtId="171" fontId="11" fillId="27" borderId="16" xfId="0" applyNumberFormat="1" applyFont="1" applyFill="1" applyBorder="1" applyAlignment="1">
      <alignment horizontal="left" vertical="top"/>
    </xf>
    <xf numFmtId="173" fontId="13" fillId="5" borderId="16" xfId="0" applyNumberFormat="1" applyFont="1" applyFill="1" applyBorder="1" applyAlignment="1" applyProtection="1">
      <alignment horizontal="left" vertical="top"/>
      <protection hidden="1"/>
    </xf>
    <xf numFmtId="188" fontId="13" fillId="5" borderId="16" xfId="0" applyNumberFormat="1" applyFont="1" applyFill="1" applyBorder="1" applyAlignment="1" applyProtection="1">
      <alignment horizontal="left" vertical="top"/>
      <protection hidden="1"/>
    </xf>
    <xf numFmtId="189" fontId="13" fillId="5" borderId="16" xfId="0" applyNumberFormat="1" applyFont="1" applyFill="1" applyBorder="1" applyAlignment="1" applyProtection="1">
      <alignment horizontal="left" vertical="top"/>
      <protection hidden="1"/>
    </xf>
    <xf numFmtId="192" fontId="13" fillId="5" borderId="16" xfId="0" applyNumberFormat="1" applyFont="1" applyFill="1" applyBorder="1" applyAlignment="1" applyProtection="1">
      <alignment horizontal="left" vertical="top" shrinkToFit="1"/>
      <protection hidden="1"/>
    </xf>
    <xf numFmtId="0" fontId="11" fillId="25" borderId="17" xfId="0" applyFont="1" applyFill="1" applyBorder="1" applyAlignment="1">
      <alignment horizontal="left" vertical="top"/>
    </xf>
    <xf numFmtId="0" fontId="11" fillId="25" borderId="18" xfId="0" applyFont="1" applyFill="1" applyBorder="1" applyAlignment="1">
      <alignment horizontal="left" vertical="top"/>
    </xf>
    <xf numFmtId="0" fontId="11" fillId="25" borderId="19" xfId="0" applyFont="1" applyFill="1" applyBorder="1" applyAlignment="1">
      <alignment horizontal="left" vertical="top"/>
    </xf>
    <xf numFmtId="0" fontId="11" fillId="25" borderId="16" xfId="0" applyFont="1" applyFill="1" applyBorder="1" applyAlignment="1">
      <alignment horizontal="left" vertical="top"/>
    </xf>
    <xf numFmtId="166" fontId="11" fillId="25" borderId="16" xfId="0" applyNumberFormat="1" applyFont="1" applyFill="1" applyBorder="1" applyAlignment="1">
      <alignment horizontal="left" vertical="top"/>
    </xf>
    <xf numFmtId="0" fontId="11" fillId="12" borderId="16" xfId="0" applyFont="1" applyFill="1" applyBorder="1" applyProtection="1">
      <protection hidden="1"/>
    </xf>
    <xf numFmtId="0" fontId="11" fillId="24" borderId="16" xfId="0" applyFont="1" applyFill="1" applyBorder="1" applyProtection="1">
      <protection hidden="1"/>
    </xf>
    <xf numFmtId="0" fontId="11" fillId="24" borderId="16" xfId="0" applyFont="1" applyFill="1" applyBorder="1" applyAlignment="1">
      <alignment horizontal="left" vertical="top"/>
    </xf>
    <xf numFmtId="0" fontId="11" fillId="25" borderId="16" xfId="0" applyFont="1" applyFill="1" applyBorder="1" applyProtection="1">
      <protection hidden="1"/>
    </xf>
    <xf numFmtId="0" fontId="27" fillId="6" borderId="16" xfId="0" applyFont="1" applyFill="1" applyBorder="1" applyAlignment="1" applyProtection="1">
      <alignment vertical="center"/>
      <protection hidden="1"/>
    </xf>
    <xf numFmtId="0" fontId="11" fillId="26" borderId="16" xfId="0" applyFont="1" applyFill="1" applyBorder="1" applyProtection="1">
      <protection hidden="1"/>
    </xf>
    <xf numFmtId="0" fontId="11" fillId="26" borderId="16" xfId="0" applyFont="1" applyFill="1" applyBorder="1" applyAlignment="1">
      <alignment horizontal="left" vertical="top"/>
    </xf>
    <xf numFmtId="166" fontId="11" fillId="26" borderId="16" xfId="0" applyNumberFormat="1" applyFont="1" applyFill="1" applyBorder="1" applyAlignment="1">
      <alignment horizontal="left" vertical="top"/>
    </xf>
    <xf numFmtId="166" fontId="11" fillId="24" borderId="16" xfId="0" applyNumberFormat="1" applyFont="1" applyFill="1" applyBorder="1" applyAlignment="1">
      <alignment horizontal="left" vertical="top"/>
    </xf>
    <xf numFmtId="0" fontId="11" fillId="12" borderId="17" xfId="0" applyFont="1" applyFill="1" applyBorder="1" applyAlignment="1">
      <alignment horizontal="left" vertical="top"/>
    </xf>
    <xf numFmtId="0" fontId="11" fillId="12" borderId="18" xfId="0" applyFont="1" applyFill="1" applyBorder="1" applyAlignment="1">
      <alignment horizontal="left" vertical="top"/>
    </xf>
    <xf numFmtId="3" fontId="11" fillId="12" borderId="17" xfId="0" applyNumberFormat="1" applyFont="1" applyFill="1" applyBorder="1" applyAlignment="1">
      <alignment horizontal="left" vertical="top"/>
    </xf>
    <xf numFmtId="3" fontId="11" fillId="12" borderId="18" xfId="0" applyNumberFormat="1" applyFont="1" applyFill="1" applyBorder="1" applyAlignment="1">
      <alignment horizontal="left" vertical="top"/>
    </xf>
    <xf numFmtId="3" fontId="11" fillId="12" borderId="19" xfId="0" applyNumberFormat="1" applyFont="1" applyFill="1" applyBorder="1" applyAlignment="1">
      <alignment horizontal="left" vertical="top"/>
    </xf>
    <xf numFmtId="166" fontId="11" fillId="27" borderId="16" xfId="0" applyNumberFormat="1" applyFont="1" applyFill="1" applyBorder="1" applyAlignment="1">
      <alignment horizontal="left" vertical="top"/>
    </xf>
    <xf numFmtId="3" fontId="13" fillId="5" borderId="17" xfId="0" applyNumberFormat="1" applyFont="1" applyFill="1" applyBorder="1" applyAlignment="1">
      <alignment horizontal="left" vertical="top"/>
    </xf>
    <xf numFmtId="3" fontId="13" fillId="5" borderId="18" xfId="0" applyNumberFormat="1" applyFont="1" applyFill="1" applyBorder="1" applyAlignment="1">
      <alignment horizontal="left" vertical="top"/>
    </xf>
    <xf numFmtId="3" fontId="13" fillId="5" borderId="19" xfId="0" applyNumberFormat="1" applyFont="1" applyFill="1" applyBorder="1" applyAlignment="1">
      <alignment horizontal="left" vertical="top"/>
    </xf>
    <xf numFmtId="0" fontId="11" fillId="8" borderId="16" xfId="0" applyFont="1" applyFill="1" applyBorder="1" applyProtection="1">
      <protection hidden="1"/>
    </xf>
    <xf numFmtId="0" fontId="13" fillId="5" borderId="22" xfId="0" applyFont="1" applyFill="1" applyBorder="1" applyAlignment="1">
      <alignment horizontal="left"/>
    </xf>
    <xf numFmtId="0" fontId="13" fillId="5" borderId="130" xfId="0" applyFont="1" applyFill="1" applyBorder="1" applyAlignment="1">
      <alignment horizontal="left"/>
    </xf>
    <xf numFmtId="0" fontId="13" fillId="5" borderId="132" xfId="0" applyFont="1" applyFill="1" applyBorder="1" applyAlignment="1">
      <alignment horizontal="left"/>
    </xf>
    <xf numFmtId="0" fontId="11" fillId="11" borderId="17" xfId="0" applyFont="1" applyFill="1" applyBorder="1"/>
    <xf numFmtId="0" fontId="11" fillId="11" borderId="18" xfId="0" applyFont="1" applyFill="1" applyBorder="1"/>
    <xf numFmtId="0" fontId="11" fillId="11" borderId="19" xfId="0" applyFont="1" applyFill="1" applyBorder="1"/>
    <xf numFmtId="171" fontId="11" fillId="26" borderId="17" xfId="0" applyNumberFormat="1" applyFont="1" applyFill="1" applyBorder="1" applyAlignment="1">
      <alignment horizontal="left" vertical="top"/>
    </xf>
    <xf numFmtId="171" fontId="11" fillId="26" borderId="18" xfId="0" applyNumberFormat="1" applyFont="1" applyFill="1" applyBorder="1" applyAlignment="1">
      <alignment horizontal="left" vertical="top"/>
    </xf>
    <xf numFmtId="171" fontId="11" fillId="26" borderId="19" xfId="0" applyNumberFormat="1" applyFont="1" applyFill="1" applyBorder="1" applyAlignment="1">
      <alignment horizontal="left" vertical="top"/>
    </xf>
    <xf numFmtId="171" fontId="11" fillId="25" borderId="17" xfId="0" applyNumberFormat="1" applyFont="1" applyFill="1" applyBorder="1" applyAlignment="1">
      <alignment horizontal="left" vertical="top"/>
    </xf>
    <xf numFmtId="171" fontId="11" fillId="25" borderId="18" xfId="0" applyNumberFormat="1" applyFont="1" applyFill="1" applyBorder="1" applyAlignment="1">
      <alignment horizontal="left" vertical="top"/>
    </xf>
    <xf numFmtId="171" fontId="11" fillId="25" borderId="19" xfId="0" applyNumberFormat="1" applyFont="1" applyFill="1" applyBorder="1" applyAlignment="1">
      <alignment horizontal="left" vertical="top"/>
    </xf>
    <xf numFmtId="0" fontId="11" fillId="0" borderId="17" xfId="0" applyFont="1" applyBorder="1" applyAlignment="1" applyProtection="1">
      <alignment vertical="top"/>
      <protection locked="0"/>
    </xf>
    <xf numFmtId="0" fontId="11" fillId="0" borderId="18" xfId="0" applyFont="1" applyBorder="1" applyAlignment="1" applyProtection="1">
      <alignment vertical="top"/>
      <protection locked="0"/>
    </xf>
    <xf numFmtId="0" fontId="11" fillId="0" borderId="19" xfId="0" applyFont="1" applyBorder="1" applyAlignment="1" applyProtection="1">
      <alignment vertical="top"/>
      <protection locked="0"/>
    </xf>
    <xf numFmtId="0" fontId="11" fillId="25" borderId="17" xfId="0" applyFont="1" applyFill="1" applyBorder="1" applyProtection="1">
      <protection hidden="1"/>
    </xf>
    <xf numFmtId="0" fontId="11" fillId="25" borderId="18" xfId="0" applyFont="1" applyFill="1" applyBorder="1" applyProtection="1">
      <protection hidden="1"/>
    </xf>
    <xf numFmtId="0" fontId="11" fillId="25" borderId="19" xfId="0" applyFont="1" applyFill="1" applyBorder="1" applyProtection="1">
      <protection hidden="1"/>
    </xf>
    <xf numFmtId="14" fontId="11" fillId="8" borderId="17" xfId="0" applyNumberFormat="1" applyFont="1" applyFill="1" applyBorder="1" applyAlignment="1">
      <alignment horizontal="left" vertical="top"/>
    </xf>
    <xf numFmtId="14" fontId="11" fillId="8" borderId="18" xfId="0" applyNumberFormat="1" applyFont="1" applyFill="1" applyBorder="1" applyAlignment="1">
      <alignment horizontal="left" vertical="top"/>
    </xf>
    <xf numFmtId="14" fontId="11" fillId="8" borderId="19" xfId="0" applyNumberFormat="1" applyFont="1" applyFill="1" applyBorder="1" applyAlignment="1">
      <alignment horizontal="left" vertical="top"/>
    </xf>
    <xf numFmtId="0" fontId="27" fillId="6" borderId="17" xfId="0" applyFont="1" applyFill="1" applyBorder="1" applyAlignment="1">
      <alignment horizontal="center" vertical="center"/>
    </xf>
    <xf numFmtId="0" fontId="27" fillId="6" borderId="18" xfId="0" applyFont="1" applyFill="1" applyBorder="1" applyAlignment="1">
      <alignment horizontal="center" vertical="center"/>
    </xf>
    <xf numFmtId="0" fontId="27" fillId="6" borderId="19" xfId="0" applyFont="1" applyFill="1" applyBorder="1" applyAlignment="1">
      <alignment horizontal="center" vertical="center"/>
    </xf>
    <xf numFmtId="0" fontId="99" fillId="8" borderId="16" xfId="0" applyFont="1" applyFill="1" applyBorder="1" applyProtection="1">
      <protection hidden="1"/>
    </xf>
    <xf numFmtId="49" fontId="11" fillId="0" borderId="21" xfId="0" applyNumberFormat="1" applyFont="1" applyBorder="1" applyAlignment="1" applyProtection="1">
      <alignment horizontal="left" vertical="top" wrapText="1"/>
      <protection locked="0"/>
    </xf>
    <xf numFmtId="49" fontId="11" fillId="0" borderId="96" xfId="0" applyNumberFormat="1" applyFont="1" applyBorder="1" applyAlignment="1" applyProtection="1">
      <alignment horizontal="left" vertical="top" wrapText="1"/>
      <protection locked="0"/>
    </xf>
    <xf numFmtId="49" fontId="11" fillId="0" borderId="131" xfId="0" applyNumberFormat="1" applyFont="1" applyBorder="1" applyAlignment="1" applyProtection="1">
      <alignment horizontal="left" vertical="top" wrapText="1"/>
      <protection locked="0"/>
    </xf>
    <xf numFmtId="49" fontId="11" fillId="0" borderId="136" xfId="0" applyNumberFormat="1" applyFont="1" applyBorder="1" applyAlignment="1" applyProtection="1">
      <alignment horizontal="left" vertical="top" wrapText="1"/>
      <protection locked="0"/>
    </xf>
    <xf numFmtId="49" fontId="11" fillId="0" borderId="0" xfId="0" applyNumberFormat="1" applyFont="1" applyAlignment="1" applyProtection="1">
      <alignment horizontal="left" vertical="top" wrapText="1"/>
      <protection locked="0"/>
    </xf>
    <xf numFmtId="49" fontId="11" fillId="0" borderId="137" xfId="0" applyNumberFormat="1" applyFont="1" applyBorder="1" applyAlignment="1" applyProtection="1">
      <alignment horizontal="left" vertical="top" wrapText="1"/>
      <protection locked="0"/>
    </xf>
    <xf numFmtId="49" fontId="11" fillId="0" borderId="22" xfId="0" applyNumberFormat="1" applyFont="1" applyBorder="1" applyAlignment="1" applyProtection="1">
      <alignment horizontal="left" vertical="top" wrapText="1"/>
      <protection locked="0"/>
    </xf>
    <xf numFmtId="49" fontId="11" fillId="0" borderId="130" xfId="0" applyNumberFormat="1" applyFont="1" applyBorder="1" applyAlignment="1" applyProtection="1">
      <alignment horizontal="left" vertical="top" wrapText="1"/>
      <protection locked="0"/>
    </xf>
    <xf numFmtId="49" fontId="11" fillId="0" borderId="132" xfId="0" applyNumberFormat="1" applyFont="1" applyBorder="1" applyAlignment="1" applyProtection="1">
      <alignment horizontal="left" vertical="top" wrapText="1"/>
      <protection locked="0"/>
    </xf>
    <xf numFmtId="0" fontId="13" fillId="5" borderId="17" xfId="0" applyFont="1" applyFill="1" applyBorder="1" applyAlignment="1">
      <alignment horizontal="left"/>
    </xf>
    <xf numFmtId="0" fontId="13" fillId="5" borderId="18" xfId="0" applyFont="1" applyFill="1" applyBorder="1" applyAlignment="1">
      <alignment horizontal="left"/>
    </xf>
    <xf numFmtId="0" fontId="13" fillId="5" borderId="19" xfId="0" applyFont="1" applyFill="1" applyBorder="1" applyAlignment="1">
      <alignment horizontal="left"/>
    </xf>
    <xf numFmtId="0" fontId="10" fillId="12" borderId="17" xfId="0" applyFont="1" applyFill="1" applyBorder="1" applyAlignment="1" applyProtection="1">
      <alignment horizontal="left" vertical="top"/>
      <protection locked="0"/>
    </xf>
    <xf numFmtId="0" fontId="10" fillId="12" borderId="18" xfId="0" applyFont="1" applyFill="1" applyBorder="1" applyAlignment="1" applyProtection="1">
      <alignment horizontal="left" vertical="top"/>
      <protection locked="0"/>
    </xf>
    <xf numFmtId="0" fontId="10" fillId="12" borderId="19" xfId="0" applyFont="1" applyFill="1" applyBorder="1" applyAlignment="1" applyProtection="1">
      <alignment horizontal="left" vertical="top"/>
      <protection locked="0"/>
    </xf>
    <xf numFmtId="0" fontId="11" fillId="8" borderId="17" xfId="0" applyFont="1" applyFill="1" applyBorder="1" applyAlignment="1">
      <alignment horizontal="left" vertical="top"/>
    </xf>
    <xf numFmtId="0" fontId="11" fillId="8" borderId="18" xfId="0" applyFont="1" applyFill="1" applyBorder="1" applyAlignment="1">
      <alignment horizontal="left" vertical="top"/>
    </xf>
    <xf numFmtId="0" fontId="11" fillId="8" borderId="19" xfId="0" applyFont="1" applyFill="1" applyBorder="1" applyAlignment="1">
      <alignment horizontal="left" vertical="top"/>
    </xf>
    <xf numFmtId="0" fontId="27" fillId="6" borderId="17" xfId="0" applyFont="1" applyFill="1" applyBorder="1" applyAlignment="1" applyProtection="1">
      <alignment horizontal="center" vertical="center"/>
      <protection hidden="1"/>
    </xf>
    <xf numFmtId="0" fontId="27" fillId="6" borderId="18" xfId="0" applyFont="1" applyFill="1" applyBorder="1" applyAlignment="1" applyProtection="1">
      <alignment horizontal="center" vertical="center"/>
      <protection hidden="1"/>
    </xf>
    <xf numFmtId="0" fontId="27" fillId="6" borderId="19" xfId="0" applyFont="1" applyFill="1" applyBorder="1" applyAlignment="1" applyProtection="1">
      <alignment horizontal="center" vertical="center"/>
      <protection hidden="1"/>
    </xf>
    <xf numFmtId="0" fontId="11" fillId="0" borderId="17" xfId="0" applyFont="1" applyBorder="1" applyAlignment="1">
      <alignment horizontal="left" vertical="top"/>
    </xf>
    <xf numFmtId="0" fontId="11" fillId="0" borderId="18" xfId="0" applyFont="1" applyBorder="1" applyAlignment="1">
      <alignment horizontal="left" vertical="top"/>
    </xf>
    <xf numFmtId="0" fontId="11" fillId="0" borderId="19" xfId="0" applyFont="1" applyBorder="1" applyAlignment="1">
      <alignment horizontal="left" vertical="top"/>
    </xf>
    <xf numFmtId="168" fontId="11" fillId="0" borderId="17" xfId="0" applyNumberFormat="1" applyFont="1" applyBorder="1" applyAlignment="1" applyProtection="1">
      <alignment horizontal="left" vertical="top"/>
      <protection locked="0"/>
    </xf>
    <xf numFmtId="168" fontId="11" fillId="0" borderId="18" xfId="0" applyNumberFormat="1" applyFont="1" applyBorder="1" applyAlignment="1" applyProtection="1">
      <alignment horizontal="left" vertical="top"/>
      <protection locked="0"/>
    </xf>
    <xf numFmtId="168" fontId="11" fillId="0" borderId="19" xfId="0" applyNumberFormat="1" applyFont="1" applyBorder="1" applyAlignment="1" applyProtection="1">
      <alignment horizontal="left" vertical="top"/>
      <protection locked="0"/>
    </xf>
    <xf numFmtId="0" fontId="11" fillId="8" borderId="22" xfId="0" applyFont="1" applyFill="1" applyBorder="1" applyAlignment="1">
      <alignment horizontal="left" vertical="top"/>
    </xf>
    <xf numFmtId="0" fontId="11" fillId="8" borderId="130" xfId="0" applyFont="1" applyFill="1" applyBorder="1" applyAlignment="1">
      <alignment horizontal="left" vertical="top"/>
    </xf>
    <xf numFmtId="0" fontId="11" fillId="8" borderId="132" xfId="0" applyFont="1" applyFill="1" applyBorder="1" applyAlignment="1">
      <alignment horizontal="left" vertical="top"/>
    </xf>
    <xf numFmtId="173" fontId="13" fillId="5" borderId="17" xfId="0" applyNumberFormat="1" applyFont="1" applyFill="1" applyBorder="1" applyAlignment="1">
      <alignment horizontal="left" vertical="top"/>
    </xf>
    <xf numFmtId="173" fontId="13" fillId="5" borderId="18" xfId="0" applyNumberFormat="1" applyFont="1" applyFill="1" applyBorder="1" applyAlignment="1">
      <alignment horizontal="left" vertical="top"/>
    </xf>
    <xf numFmtId="173" fontId="13" fillId="5" borderId="19" xfId="0" applyNumberFormat="1" applyFont="1" applyFill="1" applyBorder="1" applyAlignment="1">
      <alignment horizontal="left" vertical="top"/>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19" xfId="0" applyFont="1" applyBorder="1" applyAlignment="1" applyProtection="1">
      <alignment horizontal="left" vertical="top"/>
      <protection locked="0"/>
    </xf>
    <xf numFmtId="0" fontId="11" fillId="8" borderId="17" xfId="0" applyFont="1" applyFill="1" applyBorder="1" applyProtection="1">
      <protection hidden="1"/>
    </xf>
    <xf numFmtId="0" fontId="11" fillId="8" borderId="133" xfId="0" applyFont="1" applyFill="1" applyBorder="1" applyAlignment="1">
      <alignment horizontal="left" vertical="top"/>
    </xf>
    <xf numFmtId="0" fontId="11" fillId="8" borderId="134" xfId="0" applyFont="1" applyFill="1" applyBorder="1" applyAlignment="1">
      <alignment horizontal="left" vertical="top"/>
    </xf>
    <xf numFmtId="0" fontId="11" fillId="8" borderId="135" xfId="0" applyFont="1" applyFill="1" applyBorder="1" applyAlignment="1">
      <alignment horizontal="left" vertical="top"/>
    </xf>
    <xf numFmtId="1" fontId="13" fillId="5" borderId="17" xfId="0" applyNumberFormat="1" applyFont="1" applyFill="1" applyBorder="1" applyAlignment="1">
      <alignment horizontal="left" vertical="top"/>
    </xf>
    <xf numFmtId="1" fontId="13" fillId="5" borderId="18" xfId="0" applyNumberFormat="1" applyFont="1" applyFill="1" applyBorder="1" applyAlignment="1">
      <alignment horizontal="left" vertical="top"/>
    </xf>
    <xf numFmtId="1" fontId="13" fillId="5" borderId="19" xfId="0" applyNumberFormat="1" applyFont="1" applyFill="1" applyBorder="1" applyAlignment="1">
      <alignment horizontal="left" vertical="top"/>
    </xf>
    <xf numFmtId="49" fontId="11" fillId="0" borderId="17" xfId="0" applyNumberFormat="1" applyFont="1" applyBorder="1" applyAlignment="1" applyProtection="1">
      <alignment horizontal="left" vertical="top"/>
      <protection locked="0"/>
    </xf>
    <xf numFmtId="49" fontId="11" fillId="0" borderId="18" xfId="0" applyNumberFormat="1" applyFont="1" applyBorder="1" applyAlignment="1" applyProtection="1">
      <alignment horizontal="left" vertical="top"/>
      <protection locked="0"/>
    </xf>
    <xf numFmtId="49" fontId="11" fillId="0" borderId="19" xfId="0" applyNumberFormat="1" applyFont="1" applyBorder="1" applyAlignment="1" applyProtection="1">
      <alignment horizontal="left" vertical="top"/>
      <protection locked="0"/>
    </xf>
    <xf numFmtId="0" fontId="13" fillId="5" borderId="17" xfId="0" applyFont="1" applyFill="1" applyBorder="1" applyAlignment="1">
      <alignment horizontal="left" vertical="top" shrinkToFit="1"/>
    </xf>
    <xf numFmtId="0" fontId="13" fillId="5" borderId="18" xfId="0" applyFont="1" applyFill="1" applyBorder="1" applyAlignment="1">
      <alignment horizontal="left" vertical="top" shrinkToFit="1"/>
    </xf>
    <xf numFmtId="0" fontId="13" fillId="5" borderId="19" xfId="0" applyFont="1" applyFill="1" applyBorder="1" applyAlignment="1">
      <alignment horizontal="left" vertical="top" shrinkToFit="1"/>
    </xf>
    <xf numFmtId="0" fontId="11" fillId="8" borderId="21" xfId="0" applyFont="1" applyFill="1" applyBorder="1" applyAlignment="1">
      <alignment horizontal="left" vertical="top" shrinkToFit="1"/>
    </xf>
    <xf numFmtId="0" fontId="11" fillId="8" borderId="96" xfId="0" applyFont="1" applyFill="1" applyBorder="1" applyAlignment="1">
      <alignment horizontal="left" vertical="top" shrinkToFit="1"/>
    </xf>
    <xf numFmtId="0" fontId="11" fillId="8" borderId="131" xfId="0" applyFont="1" applyFill="1" applyBorder="1" applyAlignment="1">
      <alignment horizontal="left" vertical="top" shrinkToFit="1"/>
    </xf>
    <xf numFmtId="167" fontId="13" fillId="5" borderId="17" xfId="0" applyNumberFormat="1" applyFont="1" applyFill="1" applyBorder="1" applyAlignment="1">
      <alignment horizontal="left" vertical="top"/>
    </xf>
    <xf numFmtId="167" fontId="13" fillId="5" borderId="18" xfId="0" applyNumberFormat="1" applyFont="1" applyFill="1" applyBorder="1" applyAlignment="1">
      <alignment horizontal="left" vertical="top"/>
    </xf>
    <xf numFmtId="167" fontId="13" fillId="5" borderId="19" xfId="0" applyNumberFormat="1" applyFont="1" applyFill="1" applyBorder="1" applyAlignment="1">
      <alignment horizontal="left" vertical="top"/>
    </xf>
    <xf numFmtId="171" fontId="11" fillId="24" borderId="17" xfId="0" applyNumberFormat="1" applyFont="1" applyFill="1" applyBorder="1" applyAlignment="1">
      <alignment horizontal="left" vertical="top"/>
    </xf>
    <xf numFmtId="171" fontId="11" fillId="24" borderId="18" xfId="0" applyNumberFormat="1" applyFont="1" applyFill="1" applyBorder="1" applyAlignment="1">
      <alignment horizontal="left" vertical="top"/>
    </xf>
    <xf numFmtId="171" fontId="11" fillId="24" borderId="19" xfId="0" applyNumberFormat="1" applyFont="1" applyFill="1" applyBorder="1" applyAlignment="1">
      <alignment horizontal="left" vertical="top"/>
    </xf>
    <xf numFmtId="0" fontId="176" fillId="0" borderId="0" xfId="0" applyFont="1" applyAlignment="1">
      <alignment horizontal="center" vertical="center"/>
    </xf>
    <xf numFmtId="0" fontId="11" fillId="0" borderId="13" xfId="0" applyFont="1" applyBorder="1" applyAlignment="1">
      <alignment horizontal="left" vertical="top" wrapText="1" shrinkToFit="1"/>
    </xf>
    <xf numFmtId="0" fontId="11" fillId="0" borderId="10" xfId="0" applyFont="1" applyBorder="1" applyAlignment="1">
      <alignment horizontal="left" vertical="top" wrapText="1" shrinkToFit="1"/>
    </xf>
    <xf numFmtId="0" fontId="11" fillId="0" borderId="3" xfId="0" applyFont="1" applyBorder="1" applyAlignment="1">
      <alignment horizontal="left" vertical="top" wrapText="1" shrinkToFit="1"/>
    </xf>
    <xf numFmtId="0" fontId="11" fillId="0" borderId="12" xfId="0" applyFont="1" applyBorder="1" applyAlignment="1">
      <alignment horizontal="left" vertical="top" wrapText="1" shrinkToFit="1"/>
    </xf>
    <xf numFmtId="0" fontId="11" fillId="0" borderId="0" xfId="0" applyFont="1" applyAlignment="1">
      <alignment horizontal="left" vertical="top" wrapText="1" shrinkToFit="1"/>
    </xf>
    <xf numFmtId="0" fontId="11" fillId="0" borderId="4" xfId="0" applyFont="1" applyBorder="1" applyAlignment="1">
      <alignment horizontal="left" vertical="top" wrapText="1" shrinkToFit="1"/>
    </xf>
    <xf numFmtId="0" fontId="11" fillId="0" borderId="14" xfId="0" applyFont="1" applyBorder="1" applyAlignment="1">
      <alignment horizontal="left" vertical="top" wrapText="1" shrinkToFit="1"/>
    </xf>
    <xf numFmtId="0" fontId="11" fillId="0" borderId="11" xfId="0" applyFont="1" applyBorder="1" applyAlignment="1">
      <alignment horizontal="left" vertical="top" wrapText="1" shrinkToFit="1"/>
    </xf>
    <xf numFmtId="0" fontId="11" fillId="0" borderId="5" xfId="0" applyFont="1" applyBorder="1" applyAlignment="1">
      <alignment horizontal="left" vertical="top" wrapText="1" shrinkToFit="1"/>
    </xf>
    <xf numFmtId="0" fontId="175" fillId="0" borderId="11" xfId="0" applyFont="1" applyBorder="1" applyAlignment="1">
      <alignment horizontal="left" wrapText="1"/>
    </xf>
  </cellXfs>
  <cellStyles count="132">
    <cellStyle name="20% - Accent1" xfId="31" builtinId="30" customBuiltin="1"/>
    <cellStyle name="20% - Accent1 2" xfId="74" xr:uid="{FCA1939F-B4FA-4DFE-AD43-41DFE4FB5AAB}"/>
    <cellStyle name="20% - Accent1 2 2" xfId="115" xr:uid="{E4908DC3-D2BF-4986-8C87-8FE3BF3AC0FB}"/>
    <cellStyle name="20% - Accent1 3" xfId="99" xr:uid="{7DA819A7-83B0-4709-ACE3-402FDAF7C002}"/>
    <cellStyle name="20% - Accent2" xfId="34" builtinId="34" customBuiltin="1"/>
    <cellStyle name="20% - Accent2 2" xfId="76" xr:uid="{CE7BB09F-97CE-43E6-A3F5-15063623B03B}"/>
    <cellStyle name="20% - Accent2 2 2" xfId="117" xr:uid="{C3A28B82-621F-42AF-B8E9-E8C92854578C}"/>
    <cellStyle name="20% - Accent2 3" xfId="101" xr:uid="{A013BF79-C9DC-4215-B844-AF8762A787D5}"/>
    <cellStyle name="20% - Accent3" xfId="37" builtinId="38" customBuiltin="1"/>
    <cellStyle name="20% - Accent3 2" xfId="78" xr:uid="{FAA482C1-D406-492C-8C2F-A550D00947C3}"/>
    <cellStyle name="20% - Accent3 2 2" xfId="119" xr:uid="{F2EE5538-8E2E-4B69-8E60-68214E8FD2F6}"/>
    <cellStyle name="20% - Accent3 3" xfId="103" xr:uid="{EED0FEB2-3390-4F44-8211-5294D4AF6B1C}"/>
    <cellStyle name="20% - Accent4" xfId="39" builtinId="42" customBuiltin="1"/>
    <cellStyle name="20% - Accent4 2" xfId="79" xr:uid="{233199DB-1824-4EC3-B439-19F277E010A6}"/>
    <cellStyle name="20% - Accent4 2 2" xfId="120" xr:uid="{6A591C34-F715-48A2-B6E1-AB8DADFA403B}"/>
    <cellStyle name="20% - Accent4 3" xfId="104" xr:uid="{BA5D63C6-0F2E-47E0-A4E9-99C5CEE8F8C0}"/>
    <cellStyle name="20% - Accent5" xfId="42" builtinId="46" customBuiltin="1"/>
    <cellStyle name="20% - Accent5 2" xfId="81" xr:uid="{AE7F959E-E9FC-41DB-94B9-D6CAE8EAD3FD}"/>
    <cellStyle name="20% - Accent5 2 2" xfId="122" xr:uid="{9B847D72-18F7-4A12-844E-FED7AFB58F9F}"/>
    <cellStyle name="20% - Accent5 3" xfId="106" xr:uid="{6505E85E-E480-4F09-9D5B-66E19B8CDA45}"/>
    <cellStyle name="20% - Accent6" xfId="45" builtinId="50" customBuiltin="1"/>
    <cellStyle name="20% - Accent6 2" xfId="83" xr:uid="{3C6F8455-8035-44F5-97B9-0BA4BC1D2D84}"/>
    <cellStyle name="20% - Accent6 2 2" xfId="124" xr:uid="{2F1F6847-861E-432F-AEE9-F46F440DFD1A}"/>
    <cellStyle name="20% - Accent6 3" xfId="108" xr:uid="{8F039892-01BE-4D5D-9F34-7A73FFF797EA}"/>
    <cellStyle name="40% - Accent1" xfId="32" builtinId="31" customBuiltin="1"/>
    <cellStyle name="40% - Accent1 2" xfId="75" xr:uid="{FEB952B7-9841-41EC-A08D-892943BD1551}"/>
    <cellStyle name="40% - Accent1 2 2" xfId="116" xr:uid="{87FAA96D-2DB0-4A98-AAFC-B610729A4F8A}"/>
    <cellStyle name="40% - Accent1 3" xfId="100" xr:uid="{F6D8172A-E884-4E2B-865F-6A9A23B87AB9}"/>
    <cellStyle name="40% - Accent2" xfId="35" builtinId="35" customBuiltin="1"/>
    <cellStyle name="40% - Accent2 2" xfId="77" xr:uid="{10FBD588-58C0-40FF-8F78-2D88566CC0C0}"/>
    <cellStyle name="40% - Accent2 2 2" xfId="118" xr:uid="{18C444BA-615C-4F2C-BB81-C15C5591FCF7}"/>
    <cellStyle name="40% - Accent2 3" xfId="102" xr:uid="{D5C7D9C1-9D9A-4BD7-A7FA-96F0691DA097}"/>
    <cellStyle name="40% - Accent3 2" xfId="48" xr:uid="{3387B0A9-4D0B-46B2-B5BE-11DDFAA51861}"/>
    <cellStyle name="40% - Accent3 2 2" xfId="86" xr:uid="{1BFBDBFE-A3C5-4EBA-9543-EB35DE95382A}"/>
    <cellStyle name="40% - Accent3 2 2 2" xfId="127" xr:uid="{468D74F3-479C-42A7-A767-532838338555}"/>
    <cellStyle name="40% - Accent3 2 3" xfId="111" xr:uid="{D50E448D-03A4-45DD-B748-38B98C7A3596}"/>
    <cellStyle name="40% - Accent3 3" xfId="73" xr:uid="{0B6648C8-91ED-4BBC-9D0F-8327C4F082DD}"/>
    <cellStyle name="40% - Accent3 3 2" xfId="114" xr:uid="{0F5BBDB5-819B-45B9-81ED-7CD5E92F4820}"/>
    <cellStyle name="40% - Accent4" xfId="40" builtinId="43" customBuiltin="1"/>
    <cellStyle name="40% - Accent4 2" xfId="80" xr:uid="{54033B93-8370-4541-B6B9-80CCACB6024D}"/>
    <cellStyle name="40% - Accent4 2 2" xfId="121" xr:uid="{D0603754-6462-4B84-89E3-BFCF442B71E1}"/>
    <cellStyle name="40% - Accent4 3" xfId="105" xr:uid="{2C2C0834-9196-4AC4-A87B-7D5E64435B68}"/>
    <cellStyle name="40% - Accent5" xfId="43" builtinId="47" customBuiltin="1"/>
    <cellStyle name="40% - Accent5 2" xfId="82" xr:uid="{7B47949D-F395-4EFF-94D3-49F8605A26AF}"/>
    <cellStyle name="40% - Accent5 2 2" xfId="123" xr:uid="{2E6E5DB2-29CD-4D28-8203-D473739030D9}"/>
    <cellStyle name="40% - Accent5 3" xfId="107" xr:uid="{AA7909FC-E06C-4884-8F67-D98575451FCF}"/>
    <cellStyle name="40% - Accent6" xfId="46" builtinId="51" customBuiltin="1"/>
    <cellStyle name="40% - Accent6 2" xfId="84" xr:uid="{21E2DD15-946D-46B2-9D49-1CAFE807516A}"/>
    <cellStyle name="40% - Accent6 2 2" xfId="125" xr:uid="{9C11A339-AABB-4122-956A-9D42282440C8}"/>
    <cellStyle name="40% - Accent6 3" xfId="109" xr:uid="{84C8FFFC-AF19-4E20-8897-80744B0156BC}"/>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omma 3" xfId="93" xr:uid="{11013959-679F-4F1F-B7BB-400F0A10A8A9}"/>
    <cellStyle name="Comma 4" xfId="98" xr:uid="{4D8995CA-AFF4-49B9-A481-E0A7BAD0DCE3}"/>
    <cellStyle name="Currency" xfId="13" builtinId="4"/>
    <cellStyle name="Currency 2" xfId="11" xr:uid="{00000000-0005-0000-0000-000002000000}"/>
    <cellStyle name="Currency 3" xfId="90" xr:uid="{FB21C93E-38F7-4C79-8171-0632CF3479A5}"/>
    <cellStyle name="Currency 4" xfId="131" xr:uid="{A98BA997-CA30-490E-A07A-648A2D4E8CFB}"/>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Hyperlink 4" xfId="91" xr:uid="{855D3A7D-BC0A-4823-80E2-6EBAD59FF77B}"/>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13 2 2" xfId="92" xr:uid="{FBBBF8A4-7B0A-4459-8828-2FFA14DFA719}"/>
    <cellStyle name="Normal 2" xfId="5" xr:uid="{00000000-0005-0000-0000-000007000000}"/>
    <cellStyle name="Normal 2 2" xfId="64" xr:uid="{466722AB-EB7D-4F1C-9FBB-213367A2C328}"/>
    <cellStyle name="Normal 2 2 2 2 33" xfId="97" xr:uid="{7FEC410A-0EFD-4F63-9B0B-378142760D79}"/>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3 56" xfId="96" xr:uid="{8172DF52-3528-4190-90CD-8E75A708E0F7}"/>
    <cellStyle name="Normal 4" xfId="9" xr:uid="{00000000-0005-0000-0000-00000C000000}"/>
    <cellStyle name="Normal 4 2" xfId="72" xr:uid="{25D3397B-246D-4805-816F-73039791B677}"/>
    <cellStyle name="Normal 5" xfId="47" xr:uid="{7442B75E-EAC8-4C59-B30C-21B3A8F64EF0}"/>
    <cellStyle name="Normal 5 2" xfId="85" xr:uid="{3A9C508E-8782-4029-A53B-0E0330CA3711}"/>
    <cellStyle name="Normal 5 2 2" xfId="126" xr:uid="{CF368BC1-B958-4DA0-8700-97602FE5B586}"/>
    <cellStyle name="Normal 5 3" xfId="110" xr:uid="{C4A079D5-04D0-409F-8CD0-2E8281B8638B}"/>
    <cellStyle name="Normal 57" xfId="95" xr:uid="{0D700618-F3FC-4312-B122-9C423410C7C1}"/>
    <cellStyle name="Normal 6" xfId="71" xr:uid="{4A8B12BC-87BE-4B68-ACF9-F0FA71BC94D9}"/>
    <cellStyle name="Normal 6 2" xfId="88" xr:uid="{F7041311-84F7-470A-9175-20EB94EEF37F}"/>
    <cellStyle name="Normal 6 2 2" xfId="129" xr:uid="{D4895AD6-7800-45B3-96E4-4DE3C7612ABC}"/>
    <cellStyle name="Normal 6 3" xfId="113" xr:uid="{7EA50A40-682E-404D-98EE-886A17017C17}"/>
    <cellStyle name="Normal 7" xfId="89" xr:uid="{B748CC26-821A-4BF9-B435-81586EB1602E}"/>
    <cellStyle name="Normal 8" xfId="130" xr:uid="{94C827F0-E6E9-44A1-812E-9FA8199D42C8}"/>
    <cellStyle name="Note 2" xfId="65" xr:uid="{188C56FC-D3EE-433F-B556-6BDCBFDFCBF1}"/>
    <cellStyle name="Note 2 2" xfId="87" xr:uid="{CD18D125-9641-441C-B4AF-F13EA27750B4}"/>
    <cellStyle name="Note 2 2 2" xfId="128" xr:uid="{FD1A2278-FAFD-4459-93EA-FD312417CDAC}"/>
    <cellStyle name="Note 2 3" xfId="112" xr:uid="{3306CD83-D110-4E67-B645-C01124C15282}"/>
    <cellStyle name="Output" xfId="23" builtinId="21" customBuiltin="1"/>
    <cellStyle name="Parent row" xfId="66" xr:uid="{D3607C2E-BEAA-403E-A6D0-06E8B7959F8A}"/>
    <cellStyle name="Percent" xfId="6" builtinId="5"/>
    <cellStyle name="Percent 2" xfId="94" xr:uid="{6E55036E-EEB8-4296-84CD-5F6A6CFFF7D7}"/>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522">
    <dxf>
      <fill>
        <patternFill>
          <bgColor theme="5" tint="0.59996337778862885"/>
        </patternFill>
      </fill>
    </dxf>
    <dxf>
      <fill>
        <patternFill>
          <bgColor theme="5" tint="0.59996337778862885"/>
        </patternFill>
      </fill>
    </dxf>
    <dxf>
      <font>
        <b/>
        <i val="0"/>
        <color rgb="FFFF0000"/>
      </font>
    </dxf>
    <dxf>
      <fill>
        <patternFill>
          <bgColor theme="5" tint="0.59996337778862885"/>
        </patternFill>
      </fill>
    </dxf>
    <dxf>
      <fill>
        <patternFill>
          <bgColor theme="5" tint="0.59996337778862885"/>
        </patternFill>
      </fill>
    </dxf>
    <dxf>
      <font>
        <color theme="5"/>
      </font>
    </dxf>
    <dxf>
      <font>
        <color rgb="FFFF0000"/>
      </font>
    </dxf>
    <dxf>
      <font>
        <color theme="1"/>
      </font>
    </dxf>
    <dxf>
      <font>
        <color theme="0"/>
      </font>
    </dxf>
    <dxf>
      <font>
        <color rgb="FFFF0000"/>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ill>
        <patternFill>
          <bgColor theme="5" tint="0.59996337778862885"/>
        </patternFill>
      </fill>
    </dxf>
    <dxf>
      <fill>
        <patternFill>
          <bgColor theme="5" tint="0.59996337778862885"/>
        </patternFill>
      </fill>
    </dxf>
    <dxf>
      <font>
        <b/>
        <i val="0"/>
        <strike val="0"/>
        <u val="none"/>
        <color theme="9"/>
      </font>
      <numFmt numFmtId="19" formatCode="m/d/yyyy"/>
      <fill>
        <patternFill>
          <bgColor rgb="FFEBEBED"/>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fill>
        <patternFill patternType="none">
          <bgColor auto="1"/>
        </patternFill>
      </fill>
      <border>
        <left/>
        <right/>
        <top/>
        <bottom/>
        <vertical/>
        <horizontal/>
      </border>
    </dxf>
    <dxf>
      <font>
        <color theme="0"/>
      </font>
      <border>
        <left/>
        <right/>
        <top/>
        <bottom/>
        <vertical/>
        <horizontal/>
      </border>
    </dxf>
    <dxf>
      <font>
        <color rgb="FFFF0000"/>
      </font>
    </dxf>
    <dxf>
      <font>
        <color rgb="FFFF0000"/>
      </font>
      <fill>
        <patternFill>
          <bgColor theme="0" tint="-0.14996795556505021"/>
        </patternFill>
      </fill>
    </dxf>
    <dxf>
      <fill>
        <patternFill>
          <bgColor theme="5" tint="0.79998168889431442"/>
        </patternFill>
      </fill>
    </dxf>
    <dxf>
      <font>
        <color theme="0"/>
      </font>
      <border>
        <left/>
        <right/>
        <top/>
        <bottom/>
        <vertical/>
        <horizontal/>
      </border>
    </dxf>
    <dxf>
      <fill>
        <patternFill>
          <bgColor theme="5" tint="0.79998168889431442"/>
        </patternFill>
      </fill>
    </dxf>
    <dxf>
      <font>
        <color theme="0"/>
      </font>
      <border>
        <left/>
        <right/>
        <top/>
        <bottom/>
        <vertical/>
        <horizontal/>
      </border>
    </dxf>
    <dxf>
      <numFmt numFmtId="194" formatCode="#,###\ &quot;linear ft&quot;"/>
    </dxf>
    <dxf>
      <font>
        <b/>
        <i val="0"/>
      </font>
      <fill>
        <patternFill>
          <bgColor theme="5" tint="0.79998168889431442"/>
        </patternFill>
      </fill>
    </dxf>
    <dxf>
      <font>
        <color rgb="FFFF0000"/>
      </font>
    </dxf>
    <dxf>
      <font>
        <b/>
        <i/>
      </font>
    </dxf>
    <dxf>
      <font>
        <color rgb="FFFF0000"/>
      </font>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font>
    </dxf>
    <dxf>
      <font>
        <color rgb="FFFF0000"/>
      </font>
    </dxf>
    <dxf>
      <font>
        <color rgb="FFFF0000"/>
      </font>
    </dxf>
    <dxf>
      <font>
        <color theme="9" tint="-0.499984740745262"/>
      </font>
    </dxf>
    <dxf>
      <fill>
        <patternFill>
          <bgColor theme="5" tint="0.79998168889431442"/>
        </patternFill>
      </fill>
    </dxf>
    <dxf>
      <font>
        <b/>
        <i/>
      </font>
    </dxf>
    <dxf>
      <font>
        <color rgb="FFFF0000"/>
      </font>
    </dxf>
    <dxf>
      <font>
        <color rgb="FFFF0000"/>
      </font>
    </dxf>
    <dxf>
      <font>
        <color theme="9" tint="-0.499984740745262"/>
      </font>
    </dxf>
    <dxf>
      <fill>
        <patternFill>
          <bgColor theme="5" tint="0.79998168889431442"/>
        </patternFill>
      </fill>
    </dxf>
    <dxf>
      <fill>
        <patternFill>
          <bgColor theme="5" tint="0.79998168889431442"/>
        </patternFill>
      </fill>
    </dxf>
    <dxf>
      <fill>
        <patternFill>
          <bgColor theme="5" tint="0.79998168889431442"/>
        </patternFill>
      </fill>
    </dxf>
    <dxf>
      <numFmt numFmtId="2" formatCode="0.00"/>
    </dxf>
    <dxf>
      <font>
        <b/>
        <i/>
      </font>
    </dxf>
    <dxf>
      <font>
        <color rgb="FFFF0000"/>
      </font>
    </dxf>
    <dxf>
      <font>
        <color rgb="FFFF0000"/>
      </font>
    </dxf>
    <dxf>
      <font>
        <color theme="9" tint="-0.499984740745262"/>
      </font>
    </dxf>
    <dxf>
      <fill>
        <patternFill>
          <bgColor theme="5" tint="0.79998168889431442"/>
        </patternFill>
      </fill>
    </dxf>
    <dxf>
      <numFmt numFmtId="169" formatCode="0.000"/>
    </dxf>
    <dxf>
      <numFmt numFmtId="169" formatCode="0.000"/>
    </dxf>
    <dxf>
      <font>
        <color rgb="FFFF0000"/>
      </font>
    </dxf>
    <dxf>
      <font>
        <b/>
        <i/>
      </font>
    </dxf>
    <dxf>
      <font>
        <color rgb="FFFF0000"/>
      </font>
      <fill>
        <patternFill>
          <bgColor theme="0" tint="-0.14996795556505021"/>
        </patternFill>
      </fill>
    </dxf>
    <dxf>
      <fill>
        <patternFill>
          <bgColor theme="5" tint="0.79998168889431442"/>
        </patternFill>
      </fill>
    </dxf>
    <dxf>
      <numFmt numFmtId="194" formatCode="#,###\ &quot;linear ft&quot;"/>
    </dxf>
    <dxf>
      <font>
        <color rgb="FFFF0000"/>
      </font>
    </dxf>
    <dxf>
      <font>
        <color rgb="FFFF0000"/>
      </font>
    </dxf>
    <dxf>
      <font>
        <b/>
        <i/>
      </font>
    </dxf>
    <dxf>
      <font>
        <color rgb="FFFF0000"/>
      </font>
      <fill>
        <patternFill>
          <bgColor theme="0" tint="-0.14996795556505021"/>
        </patternFill>
      </fill>
    </dxf>
    <dxf>
      <fill>
        <patternFill>
          <bgColor theme="5" tint="0.79998168889431442"/>
        </patternFill>
      </fill>
    </dxf>
    <dxf>
      <numFmt numFmtId="194" formatCode="#,###\ &quot;linear ft&quot;"/>
    </dxf>
    <dxf>
      <font>
        <color rgb="FFFF0000"/>
      </font>
    </dxf>
    <dxf>
      <font>
        <color rgb="FFFF0000"/>
      </font>
    </dxf>
    <dxf>
      <font>
        <color rgb="FFFF0000"/>
      </font>
    </dxf>
    <dxf>
      <font>
        <color rgb="FFFF0000"/>
      </font>
    </dxf>
    <dxf>
      <fill>
        <patternFill>
          <bgColor theme="5" tint="0.79998168889431442"/>
        </patternFill>
      </fill>
      <border>
        <bottom style="thin">
          <color theme="0" tint="-0.34998626667073579"/>
        </bottom>
      </border>
    </dxf>
    <dxf>
      <font>
        <color rgb="FFFF0000"/>
      </font>
    </dxf>
    <dxf>
      <font>
        <color theme="0"/>
      </font>
      <fill>
        <patternFill patternType="none">
          <bgColor auto="1"/>
        </patternFill>
      </fill>
      <border>
        <left/>
        <right/>
        <top/>
        <bottom/>
        <vertical/>
        <horizontal/>
      </border>
    </dxf>
    <dxf>
      <fill>
        <patternFill>
          <bgColor rgb="FFFF8B8B"/>
        </patternFill>
      </fill>
    </dxf>
    <dxf>
      <fill>
        <patternFill>
          <bgColor rgb="FFFF8B8B"/>
        </patternFill>
      </fill>
    </dxf>
    <dxf>
      <font>
        <color rgb="FFFF0000"/>
      </font>
    </dxf>
    <dxf>
      <font>
        <color theme="0"/>
      </font>
      <border>
        <left/>
        <right/>
        <top/>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FF0000"/>
      </font>
    </dxf>
    <dxf>
      <font>
        <color rgb="FFFF0000"/>
      </font>
      <fill>
        <patternFill>
          <bgColor rgb="FFFFDDDD"/>
        </patternFill>
      </fill>
    </dxf>
    <dxf>
      <fill>
        <patternFill patternType="lightUp">
          <fgColor theme="0" tint="-0.49998474074526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lightUp">
          <fgColor theme="0" tint="-0.499984740745262"/>
        </patternFill>
      </fill>
    </dxf>
    <dxf>
      <fill>
        <patternFill patternType="lightUp">
          <fgColor theme="0" tint="-0.499984740745262"/>
        </patternFill>
      </fil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numFmt numFmtId="2" formatCode="0.00"/>
      <fill>
        <patternFill patternType="none">
          <fgColor indexed="64"/>
          <bgColor auto="1"/>
        </patternFill>
      </fill>
    </dxf>
    <dxf>
      <numFmt numFmtId="0" formatCode="General"/>
      <alignment horizontal="center"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1" tint="4.9989318521683403E-2"/>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1" tint="4.9989318521683403E-2"/>
        <name val="Calibri"/>
        <family val="2"/>
        <scheme val="none"/>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solid">
          <fgColor indexed="64"/>
          <bgColor theme="9"/>
        </patternFill>
      </fill>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1" tint="4.9989318521683403E-2"/>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1" tint="4.9989318521683403E-2"/>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1" tint="4.9989318521683403E-2"/>
        <name val="Calibri"/>
        <family val="2"/>
        <scheme val="none"/>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family val="2"/>
        <scheme val="none"/>
      </font>
      <numFmt numFmtId="30" formatCode="@"/>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1" tint="4.9989318521683403E-2"/>
        <name val="Calibri"/>
        <family val="2"/>
        <scheme val="none"/>
      </font>
      <fill>
        <patternFill patternType="solid">
          <fgColor theme="4"/>
          <bgColor theme="4"/>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76" formatCode="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solid">
          <fgColor indexed="64"/>
          <bgColor rgb="FFFFFF00"/>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theme="0"/>
        <name val="Calibri"/>
        <family val="2"/>
        <scheme val="none"/>
      </font>
    </dxf>
    <dxf>
      <font>
        <b val="0"/>
        <i val="0"/>
        <strike val="0"/>
        <condense val="0"/>
        <extend val="0"/>
        <outline val="0"/>
        <shadow val="0"/>
        <u val="none"/>
        <vertAlign val="baseline"/>
        <sz val="11"/>
        <color auto="1"/>
        <name val="Calibri"/>
        <family val="2"/>
        <scheme val="none"/>
      </font>
      <fill>
        <patternFill patternType="solid">
          <fgColor indexed="64"/>
          <bgColor rgb="FFFFFF00"/>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theme="0"/>
        <name val="Calibri"/>
        <family val="2"/>
        <scheme val="none"/>
      </font>
    </dxf>
    <dxf>
      <font>
        <b val="0"/>
        <i val="0"/>
        <strike val="0"/>
        <condense val="0"/>
        <extend val="0"/>
        <outline val="0"/>
        <shadow val="0"/>
        <u val="none"/>
        <vertAlign val="baseline"/>
        <sz val="11"/>
        <color auto="1"/>
        <name val="Calibri"/>
        <family val="2"/>
        <scheme val="none"/>
      </font>
      <fill>
        <patternFill patternType="solid">
          <fgColor indexed="64"/>
          <bgColor rgb="FFFFFF00"/>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ont>
        <strike val="0"/>
        <outline val="0"/>
        <shadow val="0"/>
        <u val="none"/>
        <vertAlign val="baseline"/>
        <sz val="11"/>
        <color theme="0"/>
        <name val="Calibri"/>
        <family val="2"/>
        <scheme val="none"/>
      </font>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76" formatCode="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73" formatCode="#,##0.0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73" formatCode="#,##0.0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76" formatCode="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73" formatCode="#,##0.0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horizontal="center"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horizontal="center"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11"/>
        <color auto="1"/>
        <name val="Calibri"/>
        <family val="2"/>
        <scheme val="none"/>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11"/>
        <color auto="1"/>
        <name val="Calibri"/>
        <family val="2"/>
        <scheme val="none"/>
      </font>
      <numFmt numFmtId="0" formatCode="General"/>
      <fill>
        <patternFill patternType="none">
          <fgColor indexed="64"/>
          <bgColor auto="1"/>
        </patternFill>
      </fill>
    </dxf>
    <dxf>
      <font>
        <b val="0"/>
        <strike val="0"/>
        <outline val="0"/>
        <shadow val="0"/>
        <u val="none"/>
        <vertAlign val="baseline"/>
        <sz val="11"/>
        <color auto="1"/>
        <name val="Calibri"/>
        <family val="2"/>
        <scheme val="none"/>
      </font>
      <numFmt numFmtId="0" formatCode="General"/>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numFmt numFmtId="0" formatCode="General"/>
      <fill>
        <patternFill patternType="none">
          <fgColor indexed="64"/>
          <bgColor auto="1"/>
        </patternFill>
      </fill>
    </dxf>
    <dxf>
      <font>
        <b val="0"/>
        <strike val="0"/>
        <outline val="0"/>
        <shadow val="0"/>
        <u val="none"/>
        <vertAlign val="baseline"/>
        <sz val="11"/>
        <color auto="1"/>
        <name val="Calibri"/>
        <family val="2"/>
        <scheme val="none"/>
      </font>
      <numFmt numFmtId="0" formatCode="General"/>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horizontal="center" vertical="bottom" textRotation="0" wrapText="0" indent="0" justifyLastLine="0" shrinkToFit="0" readingOrder="0"/>
    </dxf>
    <dxf>
      <font>
        <b val="0"/>
        <strike val="0"/>
        <outline val="0"/>
        <shadow val="0"/>
        <u val="none"/>
        <vertAlign val="baseline"/>
        <sz val="11"/>
        <color auto="1"/>
        <name val="Calibri"/>
        <family val="2"/>
        <scheme val="none"/>
      </font>
      <numFmt numFmtId="173" formatCode="#,##0.0000"/>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numFmt numFmtId="3" formatCode="#,##0"/>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auto="1"/>
        <name val="Calibri"/>
        <family val="2"/>
        <scheme val="none"/>
      </font>
      <numFmt numFmtId="176" formatCode="0.0"/>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67" formatCode="&quot;$&quot;#,##0.00"/>
    </dxf>
    <dxf>
      <numFmt numFmtId="175" formatCode="&quot;$&quot;#,##0.0000"/>
      <alignment horizontal="general" vertical="bottom" textRotation="0" wrapText="0" indent="0" justifyLastLine="0" shrinkToFit="0" readingOrder="0"/>
    </dxf>
    <dxf>
      <fill>
        <patternFill patternType="none">
          <fgColor indexed="64"/>
          <bgColor auto="1"/>
        </patternFill>
      </fill>
    </dxf>
    <dxf>
      <numFmt numFmtId="169" formatCode="0.00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14" formatCode="0.00%"/>
    </dxf>
    <dxf>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numFmt numFmtId="14"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none"/>
      </font>
    </dxf>
    <dxf>
      <border outline="0">
        <bottom style="dashed">
          <color theme="0" tint="-0.24994659260841701"/>
        </bottom>
      </border>
    </dxf>
    <dxf>
      <numFmt numFmtId="0" formatCode="General"/>
    </dxf>
    <dxf>
      <numFmt numFmtId="0" formatCode="Genera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left" vertical="bottom" textRotation="0" wrapText="0" indent="0" justifyLastLine="0" shrinkToFit="0" readingOrder="0"/>
    </dxf>
    <dxf>
      <numFmt numFmtId="30" formatCode="@"/>
    </dxf>
    <dxf>
      <font>
        <b val="0"/>
        <i val="0"/>
        <strike val="0"/>
        <condense val="0"/>
        <extend val="0"/>
        <outline val="0"/>
        <shadow val="0"/>
        <u val="none"/>
        <vertAlign val="baseline"/>
        <sz val="11"/>
        <color rgb="FF000000"/>
        <name val="Calibri"/>
        <family val="2"/>
        <scheme val="none"/>
      </font>
      <numFmt numFmtId="167" formatCode="&quot;$&quot;#,##0.00"/>
      <fill>
        <patternFill patternType="none">
          <fgColor indexed="64"/>
          <bgColor indexed="65"/>
        </patternFill>
      </fill>
      <alignment horizontal="right" vertical="center" textRotation="0" wrapText="0" indent="0" justifyLastLine="0" shrinkToFit="0" readingOrder="0"/>
    </dxf>
    <dxf>
      <font>
        <color rgb="FF000000"/>
      </font>
      <numFmt numFmtId="167" formatCode="&quot;$&quot;#,##0.00"/>
      <fill>
        <patternFill patternType="none">
          <fgColor indexed="64"/>
          <bgColor auto="1"/>
        </patternFill>
      </fill>
      <alignment horizontal="right" vertical="center" textRotation="0" wrapText="0" indent="0" justifyLastLine="0" shrinkToFit="0" readingOrder="0"/>
    </dxf>
    <dxf>
      <numFmt numFmtId="174" formatCode="0.0000000000"/>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2" formatCode="0.00"/>
    </dxf>
    <dxf>
      <numFmt numFmtId="2" formatCode="0.00"/>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521"/>
      <tableStyleElement type="headerRow" dxfId="520"/>
    </tableStyle>
  </tableStyles>
  <colors>
    <mruColors>
      <color rgb="FFFFFFFF"/>
      <color rgb="FFFFFFCC"/>
      <color rgb="FFE8722D"/>
      <color rgb="FFACB1BA"/>
      <color rgb="FF317CC0"/>
      <color rgb="FFF2F2F2"/>
      <color rgb="FF7F7F7F"/>
      <color rgb="FFD9D9D9"/>
      <color rgb="FF76BB40"/>
      <color rgb="FF513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DATA TABLES'!$J$12"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N02S04TB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firstButton="1" fmlaLink="N02S04TB3"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fmlaLink="N02S04TB4" lockText="1" noThreeD="1"/>
</file>

<file path=xl/ctrlProps/ctrlProp20.xml><?xml version="1.0" encoding="utf-8"?>
<formControlPr xmlns="http://schemas.microsoft.com/office/spreadsheetml/2009/9/main" objectType="Radio" firstButton="1" fmlaLink="N02S04TB7"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Radio" firstButton="1" fmlaLink="N02S04TB8"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N02S04TB9" lockText="1" noThreeD="1"/>
</file>

<file path=xl/ctrlProps/ctrlProp26.xml><?xml version="1.0" encoding="utf-8"?>
<formControlPr xmlns="http://schemas.microsoft.com/office/spreadsheetml/2009/9/main" objectType="CheckBox" fmlaLink="PayeeChckBox_N"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N02S04TB6"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N02S04TB10" lockText="1" noThreeD="1"/>
</file>

<file path=xl/ctrlProps/ctrlProp5.xml><?xml version="1.0" encoding="utf-8"?>
<formControlPr xmlns="http://schemas.microsoft.com/office/spreadsheetml/2009/9/main" objectType="CheckBox" fmlaLink="N02S04TB11" lockText="1" noThreeD="1"/>
</file>

<file path=xl/ctrlProps/ctrlProp6.xml><?xml version="1.0" encoding="utf-8"?>
<formControlPr xmlns="http://schemas.microsoft.com/office/spreadsheetml/2009/9/main" objectType="CheckBox" fmlaLink="N02S04TB12" lockText="1" noThreeD="1"/>
</file>

<file path=xl/ctrlProps/ctrlProp7.xml><?xml version="1.0" encoding="utf-8"?>
<formControlPr xmlns="http://schemas.microsoft.com/office/spreadsheetml/2009/9/main" objectType="CheckBox" fmlaLink="N02S04TB13" lockText="1" noThreeD="1"/>
</file>

<file path=xl/ctrlProps/ctrlProp8.xml><?xml version="1.0" encoding="utf-8"?>
<formControlPr xmlns="http://schemas.microsoft.com/office/spreadsheetml/2009/9/main" objectType="CheckBox" fmlaLink="N02S04TB14" lockText="1" noThreeD="1"/>
</file>

<file path=xl/ctrlProps/ctrlProp9.xml><?xml version="1.0" encoding="utf-8"?>
<formControlPr xmlns="http://schemas.microsoft.com/office/spreadsheetml/2009/9/main" objectType="CheckBox" fmlaLink="N02S04TB15" lockText="1" noThreeD="1"/>
</file>

<file path=xl/drawings/_rels/drawing1.xml.rels><?xml version="1.0" encoding="UTF-8" standalone="yes"?>
<Relationships xmlns="http://schemas.openxmlformats.org/package/2006/relationships"><Relationship Id="rId8" Type="http://schemas.openxmlformats.org/officeDocument/2006/relationships/hyperlink" Target="https://www.evergy.com/log-in" TargetMode="External"/><Relationship Id="rId13" Type="http://schemas.openxmlformats.org/officeDocument/2006/relationships/hyperlink" Target="#'N01-S02'!A1"/><Relationship Id="rId18" Type="http://schemas.openxmlformats.org/officeDocument/2006/relationships/image" Target="../media/image2.png"/><Relationship Id="rId3" Type="http://schemas.openxmlformats.org/officeDocument/2006/relationships/hyperlink" Target="https://library.cee1.org/content/commercial-lighting-qualifying-products-lists" TargetMode="External"/><Relationship Id="rId7" Type="http://schemas.openxmlformats.org/officeDocument/2006/relationships/hyperlink" Target="https://www.evergy.com/-/media/documents/ways-to-save/incentives/evergy-terms-final.pdf" TargetMode="External"/><Relationship Id="rId12" Type="http://schemas.openxmlformats.org/officeDocument/2006/relationships/hyperlink" Target="https://www.evergy.com/-/media/documents/ways-to-save/incentives/besp/new-construction.pdf" TargetMode="External"/><Relationship Id="rId17" Type="http://schemas.openxmlformats.org/officeDocument/2006/relationships/hyperlink" Target="#'N01-S01'!A1"/><Relationship Id="rId2" Type="http://schemas.openxmlformats.org/officeDocument/2006/relationships/hyperlink" Target="https://www.designlights.org/search/" TargetMode="External"/><Relationship Id="rId16" Type="http://schemas.openxmlformats.org/officeDocument/2006/relationships/hyperlink" Target="#Excel_Ack_Offer_NC"/><Relationship Id="rId1" Type="http://schemas.openxmlformats.org/officeDocument/2006/relationships/image" Target="../media/image1.png"/><Relationship Id="rId6" Type="http://schemas.openxmlformats.org/officeDocument/2006/relationships/hyperlink" Target="https://www.evergybesp.com/" TargetMode="External"/><Relationship Id="rId11" Type="http://schemas.openxmlformats.org/officeDocument/2006/relationships/hyperlink" Target="https://www.evergy.com/ways-to-save/incentives/businessenergysavings" TargetMode="External"/><Relationship Id="rId5" Type="http://schemas.openxmlformats.org/officeDocument/2006/relationships/hyperlink" Target="https://www.energystar.gov/buildings/resources_audience/small_biz" TargetMode="External"/><Relationship Id="rId15" Type="http://schemas.openxmlformats.org/officeDocument/2006/relationships/hyperlink" Target="#Excel_Ack_Compl_NC"/><Relationship Id="rId10" Type="http://schemas.openxmlformats.org/officeDocument/2006/relationships/hyperlink" Target="http://www.evergyenergysolutions.com/wp-content/uploads/Evergy-RCx-Brochure.pdf" TargetMode="External"/><Relationship Id="rId4" Type="http://schemas.openxmlformats.org/officeDocument/2006/relationships/hyperlink" Target="https://www.mced.mo.gov/pace-2/" TargetMode="External"/><Relationship Id="rId9" Type="http://schemas.openxmlformats.org/officeDocument/2006/relationships/hyperlink" Target="https://www.evergy.com/Ways-to-Save/Incentives" TargetMode="External"/><Relationship Id="rId14" Type="http://schemas.openxmlformats.org/officeDocument/2006/relationships/hyperlink" Target="#Excel_Ack_Contact_NC"/></Relationships>
</file>

<file path=xl/drawings/_rels/drawing10.xml.rels><?xml version="1.0" encoding="UTF-8" standalone="yes"?>
<Relationships xmlns="http://schemas.openxmlformats.org/package/2006/relationships"><Relationship Id="rId8" Type="http://schemas.openxmlformats.org/officeDocument/2006/relationships/hyperlink" Target="#'N02-S04'!A1"/><Relationship Id="rId13" Type="http://schemas.openxmlformats.org/officeDocument/2006/relationships/hyperlink" Target="#Excel_Ack_Compl_NC"/><Relationship Id="rId3" Type="http://schemas.openxmlformats.org/officeDocument/2006/relationships/hyperlink" Target="#'N03-S03-1b'!A1"/><Relationship Id="rId7" Type="http://schemas.openxmlformats.org/officeDocument/2006/relationships/hyperlink" Target="#'n03-S01'!H6"/><Relationship Id="rId12" Type="http://schemas.openxmlformats.org/officeDocument/2006/relationships/hyperlink" Target="#Excel_Ack_Contact_NC"/><Relationship Id="rId17" Type="http://schemas.openxmlformats.org/officeDocument/2006/relationships/image" Target="../media/image2.png"/><Relationship Id="rId2" Type="http://schemas.openxmlformats.org/officeDocument/2006/relationships/hyperlink" Target="https://www.energycodes.gov/comcheck" TargetMode="External"/><Relationship Id="rId16" Type="http://schemas.openxmlformats.org/officeDocument/2006/relationships/hyperlink" Target="#'N01-S01'!A1"/><Relationship Id="rId1" Type="http://schemas.openxmlformats.org/officeDocument/2006/relationships/hyperlink" Target="http://www.evergyenergysolutions.com/wp-content/uploads/NC-Lighting-Schedule.xlsx" TargetMode="External"/><Relationship Id="rId6" Type="http://schemas.openxmlformats.org/officeDocument/2006/relationships/hyperlink" Target="#'N05-S01'!A1"/><Relationship Id="rId11" Type="http://schemas.openxmlformats.org/officeDocument/2006/relationships/hyperlink" Target="#'N02-S01'!A1"/><Relationship Id="rId5" Type="http://schemas.openxmlformats.org/officeDocument/2006/relationships/hyperlink" Target="#'N05-S02'!A1"/><Relationship Id="rId15" Type="http://schemas.openxmlformats.org/officeDocument/2006/relationships/hyperlink" Target="#'N01-S02'!A1"/><Relationship Id="rId10" Type="http://schemas.openxmlformats.org/officeDocument/2006/relationships/hyperlink" Target="#'N02-S02'!A1"/><Relationship Id="rId4" Type="http://schemas.openxmlformats.org/officeDocument/2006/relationships/hyperlink" Target="#'N03-S03-1a'!A1"/><Relationship Id="rId9" Type="http://schemas.openxmlformats.org/officeDocument/2006/relationships/hyperlink" Target="#'N02-S03'!A1"/><Relationship Id="rId14" Type="http://schemas.openxmlformats.org/officeDocument/2006/relationships/hyperlink" Target="#Excel_Ack_Offer_NC"/></Relationships>
</file>

<file path=xl/drawings/_rels/drawing11.xml.rels><?xml version="1.0" encoding="UTF-8" standalone="yes"?>
<Relationships xmlns="http://schemas.openxmlformats.org/package/2006/relationships"><Relationship Id="rId8" Type="http://schemas.openxmlformats.org/officeDocument/2006/relationships/hyperlink" Target="#'N02-S02'!A1"/><Relationship Id="rId13" Type="http://schemas.openxmlformats.org/officeDocument/2006/relationships/hyperlink" Target="#'N01-S02'!A1"/><Relationship Id="rId3" Type="http://schemas.openxmlformats.org/officeDocument/2006/relationships/hyperlink" Target="#'N05-S02'!A1"/><Relationship Id="rId7" Type="http://schemas.openxmlformats.org/officeDocument/2006/relationships/hyperlink" Target="#'N02-S03'!A1"/><Relationship Id="rId12" Type="http://schemas.openxmlformats.org/officeDocument/2006/relationships/hyperlink" Target="#Excel_Ack_Offer_NC"/><Relationship Id="rId2" Type="http://schemas.openxmlformats.org/officeDocument/2006/relationships/hyperlink" Target="#'N03-S03-1a'!A1"/><Relationship Id="rId1" Type="http://schemas.openxmlformats.org/officeDocument/2006/relationships/hyperlink" Target="#'N03-S03-1b'!A1"/><Relationship Id="rId6" Type="http://schemas.openxmlformats.org/officeDocument/2006/relationships/hyperlink" Target="#'N02-S04'!A1"/><Relationship Id="rId11" Type="http://schemas.openxmlformats.org/officeDocument/2006/relationships/hyperlink" Target="#Excel_Ack_Compl_NC"/><Relationship Id="rId5" Type="http://schemas.openxmlformats.org/officeDocument/2006/relationships/hyperlink" Target="#'n03-S01'!H6"/><Relationship Id="rId15" Type="http://schemas.openxmlformats.org/officeDocument/2006/relationships/image" Target="../media/image2.png"/><Relationship Id="rId10" Type="http://schemas.openxmlformats.org/officeDocument/2006/relationships/hyperlink" Target="#Excel_Ack_Contact_NC"/><Relationship Id="rId4" Type="http://schemas.openxmlformats.org/officeDocument/2006/relationships/hyperlink" Target="#'N05-S01'!A1"/><Relationship Id="rId9" Type="http://schemas.openxmlformats.org/officeDocument/2006/relationships/hyperlink" Target="#'N02-S01'!A1"/><Relationship Id="rId14" Type="http://schemas.openxmlformats.org/officeDocument/2006/relationships/hyperlink" Target="#'N01-S01'!A1"/></Relationships>
</file>

<file path=xl/drawings/_rels/drawing12.xml.rels><?xml version="1.0" encoding="UTF-8" standalone="yes"?>
<Relationships xmlns="http://schemas.openxmlformats.org/package/2006/relationships"><Relationship Id="rId8" Type="http://schemas.openxmlformats.org/officeDocument/2006/relationships/hyperlink" Target="#'N02-S02'!A1"/><Relationship Id="rId13" Type="http://schemas.openxmlformats.org/officeDocument/2006/relationships/hyperlink" Target="#'N01-S02'!A1"/><Relationship Id="rId3" Type="http://schemas.openxmlformats.org/officeDocument/2006/relationships/hyperlink" Target="#'N05-S02'!A1"/><Relationship Id="rId7" Type="http://schemas.openxmlformats.org/officeDocument/2006/relationships/hyperlink" Target="#'N02-S03'!A1"/><Relationship Id="rId12" Type="http://schemas.openxmlformats.org/officeDocument/2006/relationships/hyperlink" Target="#Excel_Ack_Offer_NC"/><Relationship Id="rId2" Type="http://schemas.openxmlformats.org/officeDocument/2006/relationships/hyperlink" Target="#'N03-S03-2a'!A1"/><Relationship Id="rId1" Type="http://schemas.openxmlformats.org/officeDocument/2006/relationships/hyperlink" Target="#'N03-S03-2b'!A1"/><Relationship Id="rId6" Type="http://schemas.openxmlformats.org/officeDocument/2006/relationships/hyperlink" Target="#'N02-S04'!A1"/><Relationship Id="rId11" Type="http://schemas.openxmlformats.org/officeDocument/2006/relationships/hyperlink" Target="#Excel_Ack_Compl_NC"/><Relationship Id="rId5" Type="http://schemas.openxmlformats.org/officeDocument/2006/relationships/hyperlink" Target="#'n03-S01'!H6"/><Relationship Id="rId15" Type="http://schemas.openxmlformats.org/officeDocument/2006/relationships/image" Target="../media/image2.png"/><Relationship Id="rId10" Type="http://schemas.openxmlformats.org/officeDocument/2006/relationships/hyperlink" Target="#Excel_Ack_Contact_NC"/><Relationship Id="rId4" Type="http://schemas.openxmlformats.org/officeDocument/2006/relationships/hyperlink" Target="#'N05-S01'!A1"/><Relationship Id="rId9" Type="http://schemas.openxmlformats.org/officeDocument/2006/relationships/hyperlink" Target="#'N02-S01'!A1"/><Relationship Id="rId14" Type="http://schemas.openxmlformats.org/officeDocument/2006/relationships/hyperlink" Target="#'N01-S01'!A1"/></Relationships>
</file>

<file path=xl/drawings/_rels/drawing13.xml.rels><?xml version="1.0" encoding="UTF-8" standalone="yes"?>
<Relationships xmlns="http://schemas.openxmlformats.org/package/2006/relationships"><Relationship Id="rId8" Type="http://schemas.openxmlformats.org/officeDocument/2006/relationships/hyperlink" Target="#'N02-S02'!A1"/><Relationship Id="rId13" Type="http://schemas.openxmlformats.org/officeDocument/2006/relationships/hyperlink" Target="#'N01-S02'!A1"/><Relationship Id="rId3" Type="http://schemas.openxmlformats.org/officeDocument/2006/relationships/hyperlink" Target="#'N05-S02'!A1"/><Relationship Id="rId7" Type="http://schemas.openxmlformats.org/officeDocument/2006/relationships/hyperlink" Target="#'N02-S03'!A1"/><Relationship Id="rId12" Type="http://schemas.openxmlformats.org/officeDocument/2006/relationships/hyperlink" Target="#Excel_Ack_Offer_NC"/><Relationship Id="rId2" Type="http://schemas.openxmlformats.org/officeDocument/2006/relationships/hyperlink" Target="#'N03-S03-2a'!A1"/><Relationship Id="rId1" Type="http://schemas.openxmlformats.org/officeDocument/2006/relationships/hyperlink" Target="#'N03-S03-2b'!A1"/><Relationship Id="rId6" Type="http://schemas.openxmlformats.org/officeDocument/2006/relationships/hyperlink" Target="#'N02-S04'!A1"/><Relationship Id="rId11" Type="http://schemas.openxmlformats.org/officeDocument/2006/relationships/hyperlink" Target="#Excel_Ack_Compl_NC"/><Relationship Id="rId5" Type="http://schemas.openxmlformats.org/officeDocument/2006/relationships/hyperlink" Target="#'n03-S01'!H6"/><Relationship Id="rId15" Type="http://schemas.openxmlformats.org/officeDocument/2006/relationships/image" Target="../media/image2.png"/><Relationship Id="rId10" Type="http://schemas.openxmlformats.org/officeDocument/2006/relationships/hyperlink" Target="#Excel_Ack_Contact_NC"/><Relationship Id="rId4" Type="http://schemas.openxmlformats.org/officeDocument/2006/relationships/hyperlink" Target="#'N05-S01'!A1"/><Relationship Id="rId9" Type="http://schemas.openxmlformats.org/officeDocument/2006/relationships/hyperlink" Target="#'N02-S01'!A1"/><Relationship Id="rId14" Type="http://schemas.openxmlformats.org/officeDocument/2006/relationships/hyperlink" Target="#'N01-S01'!A1"/></Relationships>
</file>

<file path=xl/drawings/_rels/drawing14.xml.rels><?xml version="1.0" encoding="UTF-8" standalone="yes"?>
<Relationships xmlns="http://schemas.openxmlformats.org/package/2006/relationships"><Relationship Id="rId8" Type="http://schemas.openxmlformats.org/officeDocument/2006/relationships/hyperlink" Target="#'N02-S02'!A1"/><Relationship Id="rId13" Type="http://schemas.openxmlformats.org/officeDocument/2006/relationships/hyperlink" Target="#'N01-S02'!A1"/><Relationship Id="rId3" Type="http://schemas.openxmlformats.org/officeDocument/2006/relationships/hyperlink" Target="#'N05-S02'!A1"/><Relationship Id="rId7" Type="http://schemas.openxmlformats.org/officeDocument/2006/relationships/hyperlink" Target="#'N02-S03'!A1"/><Relationship Id="rId12" Type="http://schemas.openxmlformats.org/officeDocument/2006/relationships/hyperlink" Target="#Excel_Ack_Offer_NC"/><Relationship Id="rId2" Type="http://schemas.openxmlformats.org/officeDocument/2006/relationships/hyperlink" Target="#'N03-S04'!A1"/><Relationship Id="rId1" Type="http://schemas.openxmlformats.org/officeDocument/2006/relationships/hyperlink" Target="#'N03-S06'!A1"/><Relationship Id="rId6" Type="http://schemas.openxmlformats.org/officeDocument/2006/relationships/hyperlink" Target="#'N02-S04'!A1"/><Relationship Id="rId11" Type="http://schemas.openxmlformats.org/officeDocument/2006/relationships/hyperlink" Target="#Excel_Ack_Compl_NC"/><Relationship Id="rId5" Type="http://schemas.openxmlformats.org/officeDocument/2006/relationships/hyperlink" Target="#'n03-S01'!H6"/><Relationship Id="rId15" Type="http://schemas.openxmlformats.org/officeDocument/2006/relationships/image" Target="../media/image2.png"/><Relationship Id="rId10" Type="http://schemas.openxmlformats.org/officeDocument/2006/relationships/hyperlink" Target="#Excel_Ack_Contact_NC"/><Relationship Id="rId4" Type="http://schemas.openxmlformats.org/officeDocument/2006/relationships/hyperlink" Target="#'N05-S01'!A1"/><Relationship Id="rId9" Type="http://schemas.openxmlformats.org/officeDocument/2006/relationships/hyperlink" Target="#'N02-S01'!A1"/><Relationship Id="rId14" Type="http://schemas.openxmlformats.org/officeDocument/2006/relationships/hyperlink" Target="#'N01-S01'!A1"/></Relationships>
</file>

<file path=xl/drawings/_rels/drawing15.xml.rels><?xml version="1.0" encoding="UTF-8" standalone="yes"?>
<Relationships xmlns="http://schemas.openxmlformats.org/package/2006/relationships"><Relationship Id="rId8" Type="http://schemas.openxmlformats.org/officeDocument/2006/relationships/hyperlink" Target="#'n03-S01'!H6"/><Relationship Id="rId13" Type="http://schemas.openxmlformats.org/officeDocument/2006/relationships/hyperlink" Target="#Excel_Ack_Contact_NC"/><Relationship Id="rId18" Type="http://schemas.openxmlformats.org/officeDocument/2006/relationships/image" Target="../media/image2.png"/><Relationship Id="rId3" Type="http://schemas.openxmlformats.org/officeDocument/2006/relationships/hyperlink" Target="#'N03-S06'!A1"/><Relationship Id="rId7" Type="http://schemas.openxmlformats.org/officeDocument/2006/relationships/hyperlink" Target="#'N05-S01'!A1"/><Relationship Id="rId12" Type="http://schemas.openxmlformats.org/officeDocument/2006/relationships/hyperlink" Target="#'N02-S01'!A1"/><Relationship Id="rId17" Type="http://schemas.openxmlformats.org/officeDocument/2006/relationships/hyperlink" Target="#'N01-S01'!A1"/><Relationship Id="rId2" Type="http://schemas.openxmlformats.org/officeDocument/2006/relationships/hyperlink" Target="#'N03-S04'!C18"/><Relationship Id="rId16" Type="http://schemas.openxmlformats.org/officeDocument/2006/relationships/hyperlink" Target="#'N01-S02'!A1"/><Relationship Id="rId1" Type="http://schemas.openxmlformats.org/officeDocument/2006/relationships/hyperlink" Target="#'N03-S06'!C18"/><Relationship Id="rId6" Type="http://schemas.openxmlformats.org/officeDocument/2006/relationships/hyperlink" Target="#'N05-S02'!A1"/><Relationship Id="rId11" Type="http://schemas.openxmlformats.org/officeDocument/2006/relationships/hyperlink" Target="#'N02-S02'!A1"/><Relationship Id="rId5" Type="http://schemas.openxmlformats.org/officeDocument/2006/relationships/hyperlink" Target="#'n03-S04'!A1"/><Relationship Id="rId15" Type="http://schemas.openxmlformats.org/officeDocument/2006/relationships/hyperlink" Target="#Excel_Ack_Offer_NC"/><Relationship Id="rId10" Type="http://schemas.openxmlformats.org/officeDocument/2006/relationships/hyperlink" Target="#'N02-S03'!A1"/><Relationship Id="rId4" Type="http://schemas.openxmlformats.org/officeDocument/2006/relationships/hyperlink" Target="#'n03-S05'!A1"/><Relationship Id="rId9" Type="http://schemas.openxmlformats.org/officeDocument/2006/relationships/hyperlink" Target="#'N02-S04'!A1"/><Relationship Id="rId14" Type="http://schemas.openxmlformats.org/officeDocument/2006/relationships/hyperlink" Target="#Excel_Ack_Compl_NC"/></Relationships>
</file>

<file path=xl/drawings/_rels/drawing16.xml.rels><?xml version="1.0" encoding="UTF-8" standalone="yes"?>
<Relationships xmlns="http://schemas.openxmlformats.org/package/2006/relationships"><Relationship Id="rId8" Type="http://schemas.openxmlformats.org/officeDocument/2006/relationships/hyperlink" Target="#'N02-S03'!A1"/><Relationship Id="rId13" Type="http://schemas.openxmlformats.org/officeDocument/2006/relationships/hyperlink" Target="#Excel_Ack_Offer_NC"/><Relationship Id="rId3" Type="http://schemas.openxmlformats.org/officeDocument/2006/relationships/hyperlink" Target="#'n03-S04'!A1"/><Relationship Id="rId7" Type="http://schemas.openxmlformats.org/officeDocument/2006/relationships/hyperlink" Target="#'N02-S04'!A1"/><Relationship Id="rId12" Type="http://schemas.openxmlformats.org/officeDocument/2006/relationships/hyperlink" Target="#Excel_Ack_Compl_NC"/><Relationship Id="rId2" Type="http://schemas.openxmlformats.org/officeDocument/2006/relationships/hyperlink" Target="#'N03-S06'!A1"/><Relationship Id="rId16" Type="http://schemas.openxmlformats.org/officeDocument/2006/relationships/image" Target="../media/image2.png"/><Relationship Id="rId1" Type="http://schemas.openxmlformats.org/officeDocument/2006/relationships/hyperlink" Target="#'N03-S04'!A1"/><Relationship Id="rId6" Type="http://schemas.openxmlformats.org/officeDocument/2006/relationships/hyperlink" Target="#'n03-S01'!H6"/><Relationship Id="rId11" Type="http://schemas.openxmlformats.org/officeDocument/2006/relationships/hyperlink" Target="#Excel_Ack_Contact_NC"/><Relationship Id="rId5" Type="http://schemas.openxmlformats.org/officeDocument/2006/relationships/hyperlink" Target="#'N05-S01'!A1"/><Relationship Id="rId15" Type="http://schemas.openxmlformats.org/officeDocument/2006/relationships/hyperlink" Target="#'N01-S01'!A1"/><Relationship Id="rId10" Type="http://schemas.openxmlformats.org/officeDocument/2006/relationships/hyperlink" Target="#'N02-S01'!A1"/><Relationship Id="rId4" Type="http://schemas.openxmlformats.org/officeDocument/2006/relationships/hyperlink" Target="#'N05-S02'!A1"/><Relationship Id="rId9" Type="http://schemas.openxmlformats.org/officeDocument/2006/relationships/hyperlink" Target="#'N02-S02'!A1"/><Relationship Id="rId14" Type="http://schemas.openxmlformats.org/officeDocument/2006/relationships/hyperlink" Target="#'N01-S02'!A1"/></Relationships>
</file>

<file path=xl/drawings/_rels/drawing17.xml.rels><?xml version="1.0" encoding="UTF-8" standalone="yes"?>
<Relationships xmlns="http://schemas.openxmlformats.org/package/2006/relationships"><Relationship Id="rId8" Type="http://schemas.openxmlformats.org/officeDocument/2006/relationships/hyperlink" Target="#'N05-S02'!A1"/><Relationship Id="rId13" Type="http://schemas.openxmlformats.org/officeDocument/2006/relationships/hyperlink" Target="#'N02-S02'!A1"/><Relationship Id="rId18" Type="http://schemas.openxmlformats.org/officeDocument/2006/relationships/hyperlink" Target="#'N01-S02'!A1"/><Relationship Id="rId3" Type="http://schemas.openxmlformats.org/officeDocument/2006/relationships/hyperlink" Target="#'N04-S05'!A1"/><Relationship Id="rId7" Type="http://schemas.openxmlformats.org/officeDocument/2006/relationships/hyperlink" Target="#'N04-S01'!A1"/><Relationship Id="rId12" Type="http://schemas.openxmlformats.org/officeDocument/2006/relationships/hyperlink" Target="#'N02-S03'!A1"/><Relationship Id="rId17" Type="http://schemas.openxmlformats.org/officeDocument/2006/relationships/hyperlink" Target="#Excel_Ack_Offer_NC"/><Relationship Id="rId2" Type="http://schemas.openxmlformats.org/officeDocument/2006/relationships/hyperlink" Target="#'N04-S06'!A1"/><Relationship Id="rId16" Type="http://schemas.openxmlformats.org/officeDocument/2006/relationships/hyperlink" Target="#Excel_Ack_Compl_NC"/><Relationship Id="rId20" Type="http://schemas.openxmlformats.org/officeDocument/2006/relationships/image" Target="../media/image2.png"/><Relationship Id="rId1" Type="http://schemas.openxmlformats.org/officeDocument/2006/relationships/hyperlink" Target="#'N04-S02'!C18"/><Relationship Id="rId6" Type="http://schemas.openxmlformats.org/officeDocument/2006/relationships/hyperlink" Target="#'N04-S02'!A1"/><Relationship Id="rId11" Type="http://schemas.openxmlformats.org/officeDocument/2006/relationships/hyperlink" Target="#'N02-S04'!A1"/><Relationship Id="rId5" Type="http://schemas.openxmlformats.org/officeDocument/2006/relationships/hyperlink" Target="#'N04-S03'!A1"/><Relationship Id="rId15" Type="http://schemas.openxmlformats.org/officeDocument/2006/relationships/hyperlink" Target="#Excel_Ack_Contact_NC"/><Relationship Id="rId10" Type="http://schemas.openxmlformats.org/officeDocument/2006/relationships/hyperlink" Target="#'n03-S01'!H6"/><Relationship Id="rId19" Type="http://schemas.openxmlformats.org/officeDocument/2006/relationships/hyperlink" Target="#'N01-S01'!A1"/><Relationship Id="rId4" Type="http://schemas.openxmlformats.org/officeDocument/2006/relationships/hyperlink" Target="#'N04-S04'!A1"/><Relationship Id="rId9" Type="http://schemas.openxmlformats.org/officeDocument/2006/relationships/hyperlink" Target="#'N05-S01'!A1"/><Relationship Id="rId14" Type="http://schemas.openxmlformats.org/officeDocument/2006/relationships/hyperlink" Target="#'N02-S01'!A1"/></Relationships>
</file>

<file path=xl/drawings/_rels/drawing18.xml.rels><?xml version="1.0" encoding="UTF-8" standalone="yes"?>
<Relationships xmlns="http://schemas.openxmlformats.org/package/2006/relationships"><Relationship Id="rId8" Type="http://schemas.openxmlformats.org/officeDocument/2006/relationships/hyperlink" Target="#'N04-S01'!A1"/><Relationship Id="rId13" Type="http://schemas.openxmlformats.org/officeDocument/2006/relationships/hyperlink" Target="#'N02-S03'!A1"/><Relationship Id="rId18" Type="http://schemas.openxmlformats.org/officeDocument/2006/relationships/hyperlink" Target="#Excel_Ack_Offer_NC"/><Relationship Id="rId3" Type="http://schemas.openxmlformats.org/officeDocument/2006/relationships/hyperlink" Target="#'N04-S06'!A1"/><Relationship Id="rId21" Type="http://schemas.openxmlformats.org/officeDocument/2006/relationships/image" Target="../media/image2.png"/><Relationship Id="rId7" Type="http://schemas.openxmlformats.org/officeDocument/2006/relationships/hyperlink" Target="#'N04-S02'!A1"/><Relationship Id="rId12" Type="http://schemas.openxmlformats.org/officeDocument/2006/relationships/hyperlink" Target="#'N02-S04'!A1"/><Relationship Id="rId17" Type="http://schemas.openxmlformats.org/officeDocument/2006/relationships/hyperlink" Target="#Excel_Ack_Compl_NC"/><Relationship Id="rId2" Type="http://schemas.openxmlformats.org/officeDocument/2006/relationships/hyperlink" Target="#'N04-S01'!C18"/><Relationship Id="rId16" Type="http://schemas.openxmlformats.org/officeDocument/2006/relationships/hyperlink" Target="#Excel_Ack_Contact_NC"/><Relationship Id="rId20" Type="http://schemas.openxmlformats.org/officeDocument/2006/relationships/hyperlink" Target="#'N01-S01'!A1"/><Relationship Id="rId1" Type="http://schemas.openxmlformats.org/officeDocument/2006/relationships/hyperlink" Target="#'N04-S03'!C18"/><Relationship Id="rId6" Type="http://schemas.openxmlformats.org/officeDocument/2006/relationships/hyperlink" Target="#'N04-S03'!A1"/><Relationship Id="rId11" Type="http://schemas.openxmlformats.org/officeDocument/2006/relationships/hyperlink" Target="#'n03-S01'!H6"/><Relationship Id="rId5" Type="http://schemas.openxmlformats.org/officeDocument/2006/relationships/hyperlink" Target="#'N04-S04'!A1"/><Relationship Id="rId15" Type="http://schemas.openxmlformats.org/officeDocument/2006/relationships/hyperlink" Target="#'N02-S01'!A1"/><Relationship Id="rId10" Type="http://schemas.openxmlformats.org/officeDocument/2006/relationships/hyperlink" Target="#'N05-S01'!A1"/><Relationship Id="rId19" Type="http://schemas.openxmlformats.org/officeDocument/2006/relationships/hyperlink" Target="#'N01-S02'!A1"/><Relationship Id="rId4" Type="http://schemas.openxmlformats.org/officeDocument/2006/relationships/hyperlink" Target="#'N04-S05'!A1"/><Relationship Id="rId9" Type="http://schemas.openxmlformats.org/officeDocument/2006/relationships/hyperlink" Target="#'N05-S02'!A1"/><Relationship Id="rId14" Type="http://schemas.openxmlformats.org/officeDocument/2006/relationships/hyperlink" Target="#'N02-S02'!A1"/></Relationships>
</file>

<file path=xl/drawings/_rels/drawing19.xml.rels><?xml version="1.0" encoding="UTF-8" standalone="yes"?>
<Relationships xmlns="http://schemas.openxmlformats.org/package/2006/relationships"><Relationship Id="rId8" Type="http://schemas.openxmlformats.org/officeDocument/2006/relationships/hyperlink" Target="#'N04-S01'!A1"/><Relationship Id="rId13" Type="http://schemas.openxmlformats.org/officeDocument/2006/relationships/hyperlink" Target="#'N02-S03'!A1"/><Relationship Id="rId18" Type="http://schemas.openxmlformats.org/officeDocument/2006/relationships/hyperlink" Target="#Excel_Ack_Offer_NC"/><Relationship Id="rId3" Type="http://schemas.openxmlformats.org/officeDocument/2006/relationships/hyperlink" Target="#'N04-S06'!A1"/><Relationship Id="rId21" Type="http://schemas.openxmlformats.org/officeDocument/2006/relationships/image" Target="../media/image2.png"/><Relationship Id="rId7" Type="http://schemas.openxmlformats.org/officeDocument/2006/relationships/hyperlink" Target="#'N04-S02'!A1"/><Relationship Id="rId12" Type="http://schemas.openxmlformats.org/officeDocument/2006/relationships/hyperlink" Target="#'N02-S04'!A1"/><Relationship Id="rId17" Type="http://schemas.openxmlformats.org/officeDocument/2006/relationships/hyperlink" Target="#Excel_Ack_Compl_NC"/><Relationship Id="rId2" Type="http://schemas.openxmlformats.org/officeDocument/2006/relationships/hyperlink" Target="#'N04-S04'!C18"/><Relationship Id="rId16" Type="http://schemas.openxmlformats.org/officeDocument/2006/relationships/hyperlink" Target="#Excel_Ack_Contact_NC"/><Relationship Id="rId20" Type="http://schemas.openxmlformats.org/officeDocument/2006/relationships/hyperlink" Target="#'N01-S01'!A1"/><Relationship Id="rId1" Type="http://schemas.openxmlformats.org/officeDocument/2006/relationships/hyperlink" Target="#'N04-S02'!C18"/><Relationship Id="rId6" Type="http://schemas.openxmlformats.org/officeDocument/2006/relationships/hyperlink" Target="#'N04-S03'!A1"/><Relationship Id="rId11" Type="http://schemas.openxmlformats.org/officeDocument/2006/relationships/hyperlink" Target="#'n03-S01'!H6"/><Relationship Id="rId5" Type="http://schemas.openxmlformats.org/officeDocument/2006/relationships/hyperlink" Target="#'N04-S04'!A1"/><Relationship Id="rId15" Type="http://schemas.openxmlformats.org/officeDocument/2006/relationships/hyperlink" Target="#'N02-S01'!A1"/><Relationship Id="rId10" Type="http://schemas.openxmlformats.org/officeDocument/2006/relationships/hyperlink" Target="#'N05-S01'!A1"/><Relationship Id="rId19" Type="http://schemas.openxmlformats.org/officeDocument/2006/relationships/hyperlink" Target="#'N01-S02'!A1"/><Relationship Id="rId4" Type="http://schemas.openxmlformats.org/officeDocument/2006/relationships/hyperlink" Target="#'N04-S05'!A1"/><Relationship Id="rId9" Type="http://schemas.openxmlformats.org/officeDocument/2006/relationships/hyperlink" Target="#'N05-S02'!A1"/><Relationship Id="rId14" Type="http://schemas.openxmlformats.org/officeDocument/2006/relationships/hyperlink" Target="#'N02-S02'!A1"/></Relationships>
</file>

<file path=xl/drawings/_rels/drawing2.xml.rels><?xml version="1.0" encoding="UTF-8" standalone="yes"?>
<Relationships xmlns="http://schemas.openxmlformats.org/package/2006/relationships"><Relationship Id="rId8" Type="http://schemas.openxmlformats.org/officeDocument/2006/relationships/hyperlink" Target="#'N01-S02'!A1"/><Relationship Id="rId3" Type="http://schemas.openxmlformats.org/officeDocument/2006/relationships/image" Target="../media/image3.png"/><Relationship Id="rId7" Type="http://schemas.openxmlformats.org/officeDocument/2006/relationships/hyperlink" Target="#Excel_Ack_Offer_NC"/><Relationship Id="rId2" Type="http://schemas.openxmlformats.org/officeDocument/2006/relationships/hyperlink" Target="#Excel_Ack_NC"/><Relationship Id="rId1" Type="http://schemas.openxmlformats.org/officeDocument/2006/relationships/hyperlink" Target="#'N01-S01'!A1"/><Relationship Id="rId6" Type="http://schemas.openxmlformats.org/officeDocument/2006/relationships/hyperlink" Target="#Excel_Ack_Compl_NC"/><Relationship Id="rId5" Type="http://schemas.openxmlformats.org/officeDocument/2006/relationships/hyperlink" Target="#Excel_Ack_Contact_NC"/><Relationship Id="rId4" Type="http://schemas.openxmlformats.org/officeDocument/2006/relationships/hyperlink" Target="mailto:businessrebates@evergy.com" TargetMode="External"/><Relationship Id="rId9" Type="http://schemas.openxmlformats.org/officeDocument/2006/relationships/image" Target="../media/image2.png"/></Relationships>
</file>

<file path=xl/drawings/_rels/drawing20.xml.rels><?xml version="1.0" encoding="UTF-8" standalone="yes"?>
<Relationships xmlns="http://schemas.openxmlformats.org/package/2006/relationships"><Relationship Id="rId8" Type="http://schemas.openxmlformats.org/officeDocument/2006/relationships/hyperlink" Target="#'N04-S01'!A1"/><Relationship Id="rId13" Type="http://schemas.openxmlformats.org/officeDocument/2006/relationships/hyperlink" Target="#'N02-S03'!A1"/><Relationship Id="rId18" Type="http://schemas.openxmlformats.org/officeDocument/2006/relationships/hyperlink" Target="#Excel_Ack_Offer_NC"/><Relationship Id="rId3" Type="http://schemas.openxmlformats.org/officeDocument/2006/relationships/hyperlink" Target="#'N04-S06'!A1"/><Relationship Id="rId21" Type="http://schemas.openxmlformats.org/officeDocument/2006/relationships/image" Target="../media/image2.png"/><Relationship Id="rId7" Type="http://schemas.openxmlformats.org/officeDocument/2006/relationships/hyperlink" Target="#'N04-S02'!A1"/><Relationship Id="rId12" Type="http://schemas.openxmlformats.org/officeDocument/2006/relationships/hyperlink" Target="#'N02-S04'!A1"/><Relationship Id="rId17" Type="http://schemas.openxmlformats.org/officeDocument/2006/relationships/hyperlink" Target="#Excel_Ack_Compl_NC"/><Relationship Id="rId2" Type="http://schemas.openxmlformats.org/officeDocument/2006/relationships/hyperlink" Target="#'N04-S03'!C18"/><Relationship Id="rId16" Type="http://schemas.openxmlformats.org/officeDocument/2006/relationships/hyperlink" Target="#Excel_Ack_Contact_NC"/><Relationship Id="rId20" Type="http://schemas.openxmlformats.org/officeDocument/2006/relationships/hyperlink" Target="#'N01-S01'!A1"/><Relationship Id="rId1" Type="http://schemas.openxmlformats.org/officeDocument/2006/relationships/hyperlink" Target="#'N04-S05'!C18"/><Relationship Id="rId6" Type="http://schemas.openxmlformats.org/officeDocument/2006/relationships/hyperlink" Target="#'N04-S03'!A1"/><Relationship Id="rId11" Type="http://schemas.openxmlformats.org/officeDocument/2006/relationships/hyperlink" Target="#'n03-S01'!H6"/><Relationship Id="rId5" Type="http://schemas.openxmlformats.org/officeDocument/2006/relationships/hyperlink" Target="#'N04-S04'!A1"/><Relationship Id="rId15" Type="http://schemas.openxmlformats.org/officeDocument/2006/relationships/hyperlink" Target="#'N02-S01'!A1"/><Relationship Id="rId10" Type="http://schemas.openxmlformats.org/officeDocument/2006/relationships/hyperlink" Target="#'N05-S01'!A1"/><Relationship Id="rId19" Type="http://schemas.openxmlformats.org/officeDocument/2006/relationships/hyperlink" Target="#'N01-S02'!A1"/><Relationship Id="rId4" Type="http://schemas.openxmlformats.org/officeDocument/2006/relationships/hyperlink" Target="#'N04-S05'!A1"/><Relationship Id="rId9" Type="http://schemas.openxmlformats.org/officeDocument/2006/relationships/hyperlink" Target="#'N05-S02'!A1"/><Relationship Id="rId14" Type="http://schemas.openxmlformats.org/officeDocument/2006/relationships/hyperlink" Target="#'N02-S02'!A1"/></Relationships>
</file>

<file path=xl/drawings/_rels/drawing21.xml.rels><?xml version="1.0" encoding="UTF-8" standalone="yes"?>
<Relationships xmlns="http://schemas.openxmlformats.org/package/2006/relationships"><Relationship Id="rId8" Type="http://schemas.openxmlformats.org/officeDocument/2006/relationships/hyperlink" Target="#'N04-S01'!A1"/><Relationship Id="rId13" Type="http://schemas.openxmlformats.org/officeDocument/2006/relationships/hyperlink" Target="#'N02-S03'!A1"/><Relationship Id="rId18" Type="http://schemas.openxmlformats.org/officeDocument/2006/relationships/hyperlink" Target="#Excel_Ack_Offer_NC"/><Relationship Id="rId3" Type="http://schemas.openxmlformats.org/officeDocument/2006/relationships/hyperlink" Target="#'N04-S06'!A1"/><Relationship Id="rId21" Type="http://schemas.openxmlformats.org/officeDocument/2006/relationships/image" Target="../media/image2.png"/><Relationship Id="rId7" Type="http://schemas.openxmlformats.org/officeDocument/2006/relationships/hyperlink" Target="#'N04-S02'!A1"/><Relationship Id="rId12" Type="http://schemas.openxmlformats.org/officeDocument/2006/relationships/hyperlink" Target="#'N02-S04'!A1"/><Relationship Id="rId17" Type="http://schemas.openxmlformats.org/officeDocument/2006/relationships/hyperlink" Target="#Excel_Ack_Compl_NC"/><Relationship Id="rId2" Type="http://schemas.openxmlformats.org/officeDocument/2006/relationships/hyperlink" Target="#'N04-S06'!C18"/><Relationship Id="rId16" Type="http://schemas.openxmlformats.org/officeDocument/2006/relationships/hyperlink" Target="#Excel_Ack_Contact_NC"/><Relationship Id="rId20" Type="http://schemas.openxmlformats.org/officeDocument/2006/relationships/hyperlink" Target="#'N01-S01'!A1"/><Relationship Id="rId1" Type="http://schemas.openxmlformats.org/officeDocument/2006/relationships/hyperlink" Target="#'N04-S04'!C18"/><Relationship Id="rId6" Type="http://schemas.openxmlformats.org/officeDocument/2006/relationships/hyperlink" Target="#'N04-S03'!A1"/><Relationship Id="rId11" Type="http://schemas.openxmlformats.org/officeDocument/2006/relationships/hyperlink" Target="#'n03-S01'!H6"/><Relationship Id="rId5" Type="http://schemas.openxmlformats.org/officeDocument/2006/relationships/hyperlink" Target="#'N04-S04'!A1"/><Relationship Id="rId15" Type="http://schemas.openxmlformats.org/officeDocument/2006/relationships/hyperlink" Target="#'N02-S01'!A1"/><Relationship Id="rId10" Type="http://schemas.openxmlformats.org/officeDocument/2006/relationships/hyperlink" Target="#'N05-S01'!A1"/><Relationship Id="rId19" Type="http://schemas.openxmlformats.org/officeDocument/2006/relationships/hyperlink" Target="#'N01-S02'!A1"/><Relationship Id="rId4" Type="http://schemas.openxmlformats.org/officeDocument/2006/relationships/hyperlink" Target="#'N04-S05'!A1"/><Relationship Id="rId9" Type="http://schemas.openxmlformats.org/officeDocument/2006/relationships/hyperlink" Target="#'N05-S02'!A1"/><Relationship Id="rId14" Type="http://schemas.openxmlformats.org/officeDocument/2006/relationships/hyperlink" Target="#'N02-S02'!A1"/></Relationships>
</file>

<file path=xl/drawings/_rels/drawing22.xml.rels><?xml version="1.0" encoding="UTF-8" standalone="yes"?>
<Relationships xmlns="http://schemas.openxmlformats.org/package/2006/relationships"><Relationship Id="rId8" Type="http://schemas.openxmlformats.org/officeDocument/2006/relationships/hyperlink" Target="#'N05-S02'!A1"/><Relationship Id="rId13" Type="http://schemas.openxmlformats.org/officeDocument/2006/relationships/hyperlink" Target="#'N02-S02'!A1"/><Relationship Id="rId18" Type="http://schemas.openxmlformats.org/officeDocument/2006/relationships/hyperlink" Target="#'N01-S02'!A1"/><Relationship Id="rId3" Type="http://schemas.openxmlformats.org/officeDocument/2006/relationships/hyperlink" Target="#'N04-S05'!A1"/><Relationship Id="rId7" Type="http://schemas.openxmlformats.org/officeDocument/2006/relationships/hyperlink" Target="#'N04-S01'!A1"/><Relationship Id="rId12" Type="http://schemas.openxmlformats.org/officeDocument/2006/relationships/hyperlink" Target="#'N02-S03'!A1"/><Relationship Id="rId17" Type="http://schemas.openxmlformats.org/officeDocument/2006/relationships/hyperlink" Target="#Excel_Ack_Offer_NC"/><Relationship Id="rId2" Type="http://schemas.openxmlformats.org/officeDocument/2006/relationships/hyperlink" Target="#'N04-S06'!A1"/><Relationship Id="rId16" Type="http://schemas.openxmlformats.org/officeDocument/2006/relationships/hyperlink" Target="#Excel_Ack_Compl_NC"/><Relationship Id="rId20" Type="http://schemas.openxmlformats.org/officeDocument/2006/relationships/image" Target="../media/image2.png"/><Relationship Id="rId1" Type="http://schemas.openxmlformats.org/officeDocument/2006/relationships/hyperlink" Target="#'N04-S05'!C18"/><Relationship Id="rId6" Type="http://schemas.openxmlformats.org/officeDocument/2006/relationships/hyperlink" Target="#'N04-S02'!A1"/><Relationship Id="rId11" Type="http://schemas.openxmlformats.org/officeDocument/2006/relationships/hyperlink" Target="#'N02-S04'!A1"/><Relationship Id="rId5" Type="http://schemas.openxmlformats.org/officeDocument/2006/relationships/hyperlink" Target="#'N04-S03'!A1"/><Relationship Id="rId15" Type="http://schemas.openxmlformats.org/officeDocument/2006/relationships/hyperlink" Target="#Excel_Ack_Contact_NC"/><Relationship Id="rId10" Type="http://schemas.openxmlformats.org/officeDocument/2006/relationships/hyperlink" Target="#'n03-S01'!H6"/><Relationship Id="rId19" Type="http://schemas.openxmlformats.org/officeDocument/2006/relationships/hyperlink" Target="#'N01-S01'!A1"/><Relationship Id="rId4" Type="http://schemas.openxmlformats.org/officeDocument/2006/relationships/hyperlink" Target="#'N04-S04'!A1"/><Relationship Id="rId9" Type="http://schemas.openxmlformats.org/officeDocument/2006/relationships/hyperlink" Target="#'N05-S01'!A1"/><Relationship Id="rId14" Type="http://schemas.openxmlformats.org/officeDocument/2006/relationships/hyperlink" Target="#'N02-S01'!A1"/></Relationships>
</file>

<file path=xl/drawings/_rels/drawing23.xml.rels><?xml version="1.0" encoding="UTF-8" standalone="yes"?>
<Relationships xmlns="http://schemas.openxmlformats.org/package/2006/relationships"><Relationship Id="rId8" Type="http://schemas.openxmlformats.org/officeDocument/2006/relationships/hyperlink" Target="#'N02-S03'!A1"/><Relationship Id="rId13" Type="http://schemas.openxmlformats.org/officeDocument/2006/relationships/hyperlink" Target="#Excel_Ack_Offer_NC"/><Relationship Id="rId3" Type="http://schemas.openxmlformats.org/officeDocument/2006/relationships/hyperlink" Target="http://www.lmenergyefficiency.com/wp-content/uploads/Evergy-New-Construction-Handbook.pdf" TargetMode="External"/><Relationship Id="rId7" Type="http://schemas.openxmlformats.org/officeDocument/2006/relationships/hyperlink" Target="#'N02-S04'!A1"/><Relationship Id="rId12" Type="http://schemas.openxmlformats.org/officeDocument/2006/relationships/hyperlink" Target="#Excel_Ack_Compl_NC"/><Relationship Id="rId2" Type="http://schemas.openxmlformats.org/officeDocument/2006/relationships/image" Target="../media/image5.svg"/><Relationship Id="rId16" Type="http://schemas.openxmlformats.org/officeDocument/2006/relationships/image" Target="../media/image2.png"/><Relationship Id="rId1" Type="http://schemas.openxmlformats.org/officeDocument/2006/relationships/image" Target="../media/image4.png"/><Relationship Id="rId6" Type="http://schemas.openxmlformats.org/officeDocument/2006/relationships/hyperlink" Target="#'n03-S01'!H6"/><Relationship Id="rId11" Type="http://schemas.openxmlformats.org/officeDocument/2006/relationships/hyperlink" Target="#Excel_Ack_Contact_NC"/><Relationship Id="rId5" Type="http://schemas.openxmlformats.org/officeDocument/2006/relationships/hyperlink" Target="#'N05-S01'!A1"/><Relationship Id="rId15" Type="http://schemas.openxmlformats.org/officeDocument/2006/relationships/hyperlink" Target="#'N01-S01'!A1"/><Relationship Id="rId10" Type="http://schemas.openxmlformats.org/officeDocument/2006/relationships/hyperlink" Target="#'N02-S01'!A1"/><Relationship Id="rId4" Type="http://schemas.openxmlformats.org/officeDocument/2006/relationships/hyperlink" Target="#'N05-S02'!A1"/><Relationship Id="rId9" Type="http://schemas.openxmlformats.org/officeDocument/2006/relationships/hyperlink" Target="#'N02-S02'!A1"/><Relationship Id="rId14" Type="http://schemas.openxmlformats.org/officeDocument/2006/relationships/hyperlink" Target="#'N01-S02'!A1"/></Relationships>
</file>

<file path=xl/drawings/_rels/drawing24.xml.rels><?xml version="1.0" encoding="UTF-8" standalone="yes"?>
<Relationships xmlns="http://schemas.openxmlformats.org/package/2006/relationships"><Relationship Id="rId8" Type="http://schemas.openxmlformats.org/officeDocument/2006/relationships/hyperlink" Target="#'N02-S02'!A1"/><Relationship Id="rId13" Type="http://schemas.openxmlformats.org/officeDocument/2006/relationships/hyperlink" Target="#'N01-S02'!A1"/><Relationship Id="rId3" Type="http://schemas.openxmlformats.org/officeDocument/2006/relationships/hyperlink" Target="#'N05-S02'!A1"/><Relationship Id="rId7" Type="http://schemas.openxmlformats.org/officeDocument/2006/relationships/hyperlink" Target="#'N02-S03'!A1"/><Relationship Id="rId12" Type="http://schemas.openxmlformats.org/officeDocument/2006/relationships/hyperlink" Target="#Excel_Ack_Offer_NC"/><Relationship Id="rId2" Type="http://schemas.openxmlformats.org/officeDocument/2006/relationships/hyperlink" Target="#'N03-S01'!H6"/><Relationship Id="rId1" Type="http://schemas.openxmlformats.org/officeDocument/2006/relationships/hyperlink" Target="#'N05-S02'!H6"/><Relationship Id="rId6" Type="http://schemas.openxmlformats.org/officeDocument/2006/relationships/hyperlink" Target="#'N02-S04'!A1"/><Relationship Id="rId11" Type="http://schemas.openxmlformats.org/officeDocument/2006/relationships/hyperlink" Target="#Excel_Ack_Compl_NC"/><Relationship Id="rId5" Type="http://schemas.openxmlformats.org/officeDocument/2006/relationships/hyperlink" Target="#'n03-S01'!H6"/><Relationship Id="rId15" Type="http://schemas.openxmlformats.org/officeDocument/2006/relationships/image" Target="../media/image2.png"/><Relationship Id="rId10" Type="http://schemas.openxmlformats.org/officeDocument/2006/relationships/hyperlink" Target="#Excel_Ack_Contact_NC"/><Relationship Id="rId4" Type="http://schemas.openxmlformats.org/officeDocument/2006/relationships/hyperlink" Target="#'N05-S01'!A1"/><Relationship Id="rId9" Type="http://schemas.openxmlformats.org/officeDocument/2006/relationships/hyperlink" Target="#'N02-S01'!A1"/><Relationship Id="rId14" Type="http://schemas.openxmlformats.org/officeDocument/2006/relationships/hyperlink" Target="#'N01-S01'!A1"/></Relationships>
</file>

<file path=xl/drawings/_rels/drawing25.xml.rels><?xml version="1.0" encoding="UTF-8" standalone="yes"?>
<Relationships xmlns="http://schemas.openxmlformats.org/package/2006/relationships"><Relationship Id="rId8" Type="http://schemas.openxmlformats.org/officeDocument/2006/relationships/hyperlink" Target="#'N04-S04'!A1"/><Relationship Id="rId13" Type="http://schemas.openxmlformats.org/officeDocument/2006/relationships/image" Target="../media/image12.png"/><Relationship Id="rId18" Type="http://schemas.openxmlformats.org/officeDocument/2006/relationships/hyperlink" Target="#'n02-S02'!A1"/><Relationship Id="rId26" Type="http://schemas.openxmlformats.org/officeDocument/2006/relationships/hyperlink" Target="#Excel_Ack_Contact_NC"/><Relationship Id="rId3" Type="http://schemas.openxmlformats.org/officeDocument/2006/relationships/hyperlink" Target="#'n03-S04'!A1"/><Relationship Id="rId21" Type="http://schemas.openxmlformats.org/officeDocument/2006/relationships/hyperlink" Target="#'N05-S01'!A1"/><Relationship Id="rId7" Type="http://schemas.openxmlformats.org/officeDocument/2006/relationships/hyperlink" Target="#'N04-S05'!A1"/><Relationship Id="rId12" Type="http://schemas.openxmlformats.org/officeDocument/2006/relationships/hyperlink" Target="#'n05-S03'!K12"/><Relationship Id="rId17" Type="http://schemas.openxmlformats.org/officeDocument/2006/relationships/hyperlink" Target="#'n02-S03'!A1"/><Relationship Id="rId25" Type="http://schemas.openxmlformats.org/officeDocument/2006/relationships/hyperlink" Target="#'N02-S02'!A1"/><Relationship Id="rId2" Type="http://schemas.openxmlformats.org/officeDocument/2006/relationships/hyperlink" Target="#'N03-S06'!A1"/><Relationship Id="rId16" Type="http://schemas.openxmlformats.org/officeDocument/2006/relationships/hyperlink" Target="#'N02-S04'!A1"/><Relationship Id="rId20" Type="http://schemas.openxmlformats.org/officeDocument/2006/relationships/hyperlink" Target="#'n05-S02-1'!H6"/><Relationship Id="rId29" Type="http://schemas.openxmlformats.org/officeDocument/2006/relationships/hyperlink" Target="#'N01-S02'!A1"/><Relationship Id="rId1" Type="http://schemas.openxmlformats.org/officeDocument/2006/relationships/hyperlink" Target="#'N04-S09'!A1"/><Relationship Id="rId6" Type="http://schemas.openxmlformats.org/officeDocument/2006/relationships/hyperlink" Target="#'N04-S06'!A1"/><Relationship Id="rId11" Type="http://schemas.openxmlformats.org/officeDocument/2006/relationships/hyperlink" Target="#'N04-S01'!A1"/><Relationship Id="rId24" Type="http://schemas.openxmlformats.org/officeDocument/2006/relationships/hyperlink" Target="#'N02-S03'!A1"/><Relationship Id="rId5" Type="http://schemas.openxmlformats.org/officeDocument/2006/relationships/hyperlink" Target="#'N03-S03-1b'!A1"/><Relationship Id="rId15" Type="http://schemas.openxmlformats.org/officeDocument/2006/relationships/hyperlink" Target="#'n05-S01'!A1"/><Relationship Id="rId23" Type="http://schemas.openxmlformats.org/officeDocument/2006/relationships/hyperlink" Target="#'n03-S01'!H6"/><Relationship Id="rId28" Type="http://schemas.openxmlformats.org/officeDocument/2006/relationships/hyperlink" Target="#Excel_Ack_Offer_NC"/><Relationship Id="rId10" Type="http://schemas.openxmlformats.org/officeDocument/2006/relationships/hyperlink" Target="#'N04-S02'!A1"/><Relationship Id="rId19" Type="http://schemas.openxmlformats.org/officeDocument/2006/relationships/hyperlink" Target="#'N02-S01'!A1"/><Relationship Id="rId31" Type="http://schemas.openxmlformats.org/officeDocument/2006/relationships/image" Target="../media/image2.png"/><Relationship Id="rId4" Type="http://schemas.openxmlformats.org/officeDocument/2006/relationships/hyperlink" Target="#'N03-S03-2b'!A1"/><Relationship Id="rId9" Type="http://schemas.openxmlformats.org/officeDocument/2006/relationships/hyperlink" Target="#'N04-S03'!A1"/><Relationship Id="rId14" Type="http://schemas.openxmlformats.org/officeDocument/2006/relationships/image" Target="../media/image13.svg"/><Relationship Id="rId22" Type="http://schemas.openxmlformats.org/officeDocument/2006/relationships/hyperlink" Target="#'N05-S02'!A1"/><Relationship Id="rId27" Type="http://schemas.openxmlformats.org/officeDocument/2006/relationships/hyperlink" Target="#Excel_Ack_Compl_NC"/><Relationship Id="rId30" Type="http://schemas.openxmlformats.org/officeDocument/2006/relationships/hyperlink" Target="#'N01-S01'!A1"/></Relationships>
</file>

<file path=xl/drawings/_rels/drawing26.xml.rels><?xml version="1.0" encoding="UTF-8" standalone="yes"?>
<Relationships xmlns="http://schemas.openxmlformats.org/package/2006/relationships"><Relationship Id="rId8" Type="http://schemas.openxmlformats.org/officeDocument/2006/relationships/hyperlink" Target="#'n03-S01'!H6"/><Relationship Id="rId13" Type="http://schemas.openxmlformats.org/officeDocument/2006/relationships/hyperlink" Target="#Excel_Ack_Contact_NC"/><Relationship Id="rId18" Type="http://schemas.openxmlformats.org/officeDocument/2006/relationships/image" Target="../media/image2.png"/><Relationship Id="rId3" Type="http://schemas.openxmlformats.org/officeDocument/2006/relationships/hyperlink" Target="#'N05-S03'!K12"/><Relationship Id="rId7" Type="http://schemas.openxmlformats.org/officeDocument/2006/relationships/hyperlink" Target="#'N05-S01'!A1"/><Relationship Id="rId12" Type="http://schemas.openxmlformats.org/officeDocument/2006/relationships/hyperlink" Target="#'N02-S01'!A1"/><Relationship Id="rId17" Type="http://schemas.openxmlformats.org/officeDocument/2006/relationships/hyperlink" Target="#'N01-S01'!A1"/><Relationship Id="rId2" Type="http://schemas.openxmlformats.org/officeDocument/2006/relationships/hyperlink" Target="#'N05-S02'!H6"/><Relationship Id="rId16" Type="http://schemas.openxmlformats.org/officeDocument/2006/relationships/hyperlink" Target="#'N01-S02'!A1"/><Relationship Id="rId1" Type="http://schemas.openxmlformats.org/officeDocument/2006/relationships/hyperlink" Target="mailto:businessrebates@evergy.com" TargetMode="External"/><Relationship Id="rId6" Type="http://schemas.openxmlformats.org/officeDocument/2006/relationships/hyperlink" Target="#'N05-S02'!A1"/><Relationship Id="rId11" Type="http://schemas.openxmlformats.org/officeDocument/2006/relationships/hyperlink" Target="#'N02-S02'!A1"/><Relationship Id="rId5" Type="http://schemas.openxmlformats.org/officeDocument/2006/relationships/image" Target="../media/image13.svg"/><Relationship Id="rId15" Type="http://schemas.openxmlformats.org/officeDocument/2006/relationships/hyperlink" Target="#Excel_Ack_Offer_NC"/><Relationship Id="rId10" Type="http://schemas.openxmlformats.org/officeDocument/2006/relationships/hyperlink" Target="#'N02-S03'!A1"/><Relationship Id="rId4" Type="http://schemas.openxmlformats.org/officeDocument/2006/relationships/image" Target="../media/image12.png"/><Relationship Id="rId9" Type="http://schemas.openxmlformats.org/officeDocument/2006/relationships/hyperlink" Target="#'N02-S04'!A1"/><Relationship Id="rId14" Type="http://schemas.openxmlformats.org/officeDocument/2006/relationships/hyperlink" Target="#Excel_Ack_Compl_NC"/></Relationships>
</file>

<file path=xl/drawings/_rels/drawing27.xml.rels><?xml version="1.0" encoding="UTF-8" standalone="yes"?>
<Relationships xmlns="http://schemas.openxmlformats.org/package/2006/relationships"><Relationship Id="rId8" Type="http://schemas.openxmlformats.org/officeDocument/2006/relationships/hyperlink" Target="#'n05-S02-1'!H6"/><Relationship Id="rId13" Type="http://schemas.openxmlformats.org/officeDocument/2006/relationships/hyperlink" Target="#'N05-S01'!A1"/><Relationship Id="rId18" Type="http://schemas.openxmlformats.org/officeDocument/2006/relationships/hyperlink" Target="#'N02-S01'!A1"/><Relationship Id="rId3" Type="http://schemas.openxmlformats.org/officeDocument/2006/relationships/image" Target="../media/image15.png"/><Relationship Id="rId21" Type="http://schemas.openxmlformats.org/officeDocument/2006/relationships/hyperlink" Target="#Excel_Ack_Offer_NC"/><Relationship Id="rId7" Type="http://schemas.openxmlformats.org/officeDocument/2006/relationships/image" Target="../media/image19.png"/><Relationship Id="rId12" Type="http://schemas.openxmlformats.org/officeDocument/2006/relationships/hyperlink" Target="#'N05-S02'!A1"/><Relationship Id="rId17" Type="http://schemas.openxmlformats.org/officeDocument/2006/relationships/hyperlink" Target="#'N02-S02'!A1"/><Relationship Id="rId2" Type="http://schemas.openxmlformats.org/officeDocument/2006/relationships/image" Target="../media/image14.png"/><Relationship Id="rId16" Type="http://schemas.openxmlformats.org/officeDocument/2006/relationships/hyperlink" Target="#'N02-S03'!A1"/><Relationship Id="rId20" Type="http://schemas.openxmlformats.org/officeDocument/2006/relationships/hyperlink" Target="#Excel_Ack_Compl_NC"/><Relationship Id="rId1" Type="http://schemas.openxmlformats.org/officeDocument/2006/relationships/image" Target="../media/image6.png"/><Relationship Id="rId6" Type="http://schemas.openxmlformats.org/officeDocument/2006/relationships/image" Target="../media/image18.png"/><Relationship Id="rId11" Type="http://schemas.openxmlformats.org/officeDocument/2006/relationships/hyperlink" Target="#'n05-S02'!A1"/><Relationship Id="rId24" Type="http://schemas.openxmlformats.org/officeDocument/2006/relationships/image" Target="../media/image2.png"/><Relationship Id="rId5" Type="http://schemas.openxmlformats.org/officeDocument/2006/relationships/image" Target="../media/image17.png"/><Relationship Id="rId15" Type="http://schemas.openxmlformats.org/officeDocument/2006/relationships/hyperlink" Target="#'N02-S04'!A1"/><Relationship Id="rId23" Type="http://schemas.openxmlformats.org/officeDocument/2006/relationships/hyperlink" Target="#'N01-S01'!A1"/><Relationship Id="rId10" Type="http://schemas.openxmlformats.org/officeDocument/2006/relationships/image" Target="../media/image21.svg"/><Relationship Id="rId19" Type="http://schemas.openxmlformats.org/officeDocument/2006/relationships/hyperlink" Target="#Excel_Ack_Contact_NC"/><Relationship Id="rId4" Type="http://schemas.openxmlformats.org/officeDocument/2006/relationships/image" Target="../media/image16.png"/><Relationship Id="rId9" Type="http://schemas.openxmlformats.org/officeDocument/2006/relationships/image" Target="../media/image20.png"/><Relationship Id="rId14" Type="http://schemas.openxmlformats.org/officeDocument/2006/relationships/hyperlink" Target="#'n03-S01'!H6"/><Relationship Id="rId22" Type="http://schemas.openxmlformats.org/officeDocument/2006/relationships/hyperlink" Target="#'N01-S02'!A1"/></Relationships>
</file>

<file path=xl/drawings/_rels/drawing28.xml.rels><?xml version="1.0" encoding="UTF-8" standalone="yes"?>
<Relationships xmlns="http://schemas.openxmlformats.org/package/2006/relationships"><Relationship Id="rId8" Type="http://schemas.openxmlformats.org/officeDocument/2006/relationships/hyperlink" Target="#'N02-S01'!A1"/><Relationship Id="rId13" Type="http://schemas.openxmlformats.org/officeDocument/2006/relationships/hyperlink" Target="#'N01-S01'!A1"/><Relationship Id="rId3" Type="http://schemas.openxmlformats.org/officeDocument/2006/relationships/hyperlink" Target="#'N05-S01'!A1"/><Relationship Id="rId7" Type="http://schemas.openxmlformats.org/officeDocument/2006/relationships/hyperlink" Target="#'N02-S02'!A1"/><Relationship Id="rId12" Type="http://schemas.openxmlformats.org/officeDocument/2006/relationships/hyperlink" Target="#'N01-S02'!A1"/><Relationship Id="rId2" Type="http://schemas.openxmlformats.org/officeDocument/2006/relationships/hyperlink" Target="#'N05-S02'!A1"/><Relationship Id="rId1" Type="http://schemas.openxmlformats.org/officeDocument/2006/relationships/image" Target="../media/image22.png"/><Relationship Id="rId6" Type="http://schemas.openxmlformats.org/officeDocument/2006/relationships/hyperlink" Target="#'N02-S03'!A1"/><Relationship Id="rId11" Type="http://schemas.openxmlformats.org/officeDocument/2006/relationships/hyperlink" Target="#Excel_Ack_Offer_NC"/><Relationship Id="rId5" Type="http://schemas.openxmlformats.org/officeDocument/2006/relationships/hyperlink" Target="#'N02-S04'!A1"/><Relationship Id="rId10" Type="http://schemas.openxmlformats.org/officeDocument/2006/relationships/hyperlink" Target="#Excel_Ack_Compl_NC"/><Relationship Id="rId4" Type="http://schemas.openxmlformats.org/officeDocument/2006/relationships/hyperlink" Target="#'n03-S01'!H6"/><Relationship Id="rId9" Type="http://schemas.openxmlformats.org/officeDocument/2006/relationships/hyperlink" Target="#Excel_Ack_Contact_NC"/><Relationship Id="rId14" Type="http://schemas.openxmlformats.org/officeDocument/2006/relationships/image" Target="../media/image2.png"/></Relationships>
</file>

<file path=xl/drawings/_rels/drawing29.xml.rels><?xml version="1.0" encoding="UTF-8" standalone="yes"?>
<Relationships xmlns="http://schemas.openxmlformats.org/package/2006/relationships"><Relationship Id="rId8" Type="http://schemas.openxmlformats.org/officeDocument/2006/relationships/hyperlink" Target="#'N02-S03'!A1"/><Relationship Id="rId13" Type="http://schemas.openxmlformats.org/officeDocument/2006/relationships/hyperlink" Target="#Excel_Ack_Offer_NC"/><Relationship Id="rId3" Type="http://schemas.openxmlformats.org/officeDocument/2006/relationships/hyperlink" Target="#'N03-S01'!A1"/><Relationship Id="rId7" Type="http://schemas.openxmlformats.org/officeDocument/2006/relationships/hyperlink" Target="#'N02-S04'!A1"/><Relationship Id="rId12" Type="http://schemas.openxmlformats.org/officeDocument/2006/relationships/hyperlink" Target="#Excel_Ack_Compl_NC"/><Relationship Id="rId2" Type="http://schemas.openxmlformats.org/officeDocument/2006/relationships/image" Target="../media/image22.png"/><Relationship Id="rId16" Type="http://schemas.openxmlformats.org/officeDocument/2006/relationships/image" Target="../media/image2.png"/><Relationship Id="rId1" Type="http://schemas.openxmlformats.org/officeDocument/2006/relationships/hyperlink" Target="#'n05-S01'!A1"/><Relationship Id="rId6" Type="http://schemas.openxmlformats.org/officeDocument/2006/relationships/hyperlink" Target="#'n03-S01'!H6"/><Relationship Id="rId11" Type="http://schemas.openxmlformats.org/officeDocument/2006/relationships/hyperlink" Target="#Excel_Ack_Contact_NC"/><Relationship Id="rId5" Type="http://schemas.openxmlformats.org/officeDocument/2006/relationships/hyperlink" Target="#'N05-S01'!A1"/><Relationship Id="rId15" Type="http://schemas.openxmlformats.org/officeDocument/2006/relationships/hyperlink" Target="#'N01-S01'!A1"/><Relationship Id="rId10" Type="http://schemas.openxmlformats.org/officeDocument/2006/relationships/hyperlink" Target="#'N02-S01'!A1"/><Relationship Id="rId4" Type="http://schemas.openxmlformats.org/officeDocument/2006/relationships/hyperlink" Target="#'N05-S02'!A1"/><Relationship Id="rId9" Type="http://schemas.openxmlformats.org/officeDocument/2006/relationships/hyperlink" Target="#'N02-S02'!A1"/><Relationship Id="rId14" Type="http://schemas.openxmlformats.org/officeDocument/2006/relationships/hyperlink" Target="#'N01-S02'!A1"/></Relationships>
</file>

<file path=xl/drawings/_rels/drawing3.xml.rels><?xml version="1.0" encoding="UTF-8" standalone="yes"?>
<Relationships xmlns="http://schemas.openxmlformats.org/package/2006/relationships"><Relationship Id="rId3" Type="http://schemas.openxmlformats.org/officeDocument/2006/relationships/hyperlink" Target="#Excel_Ack_Compl_NC"/><Relationship Id="rId7" Type="http://schemas.openxmlformats.org/officeDocument/2006/relationships/image" Target="../media/image2.png"/><Relationship Id="rId2" Type="http://schemas.openxmlformats.org/officeDocument/2006/relationships/hyperlink" Target="#Excel_Ack_Contact_NC"/><Relationship Id="rId1" Type="http://schemas.openxmlformats.org/officeDocument/2006/relationships/hyperlink" Target="mailto:businessrebates@evergy.com" TargetMode="External"/><Relationship Id="rId6" Type="http://schemas.openxmlformats.org/officeDocument/2006/relationships/hyperlink" Target="#'N01-S01'!A1"/><Relationship Id="rId5" Type="http://schemas.openxmlformats.org/officeDocument/2006/relationships/hyperlink" Target="#'N01-S02'!A1"/><Relationship Id="rId4" Type="http://schemas.openxmlformats.org/officeDocument/2006/relationships/hyperlink" Target="#Excel_Ack_Offer_NC"/></Relationships>
</file>

<file path=xl/drawings/_rels/drawing30.xml.rels><?xml version="1.0" encoding="UTF-8" standalone="yes"?>
<Relationships xmlns="http://schemas.openxmlformats.org/package/2006/relationships"><Relationship Id="rId8" Type="http://schemas.openxmlformats.org/officeDocument/2006/relationships/hyperlink" Target="#Excel_Ack_Contact_NC"/><Relationship Id="rId13" Type="http://schemas.openxmlformats.org/officeDocument/2006/relationships/image" Target="../media/image2.png"/><Relationship Id="rId3" Type="http://schemas.openxmlformats.org/officeDocument/2006/relationships/hyperlink" Target="#'n03-S01'!H6"/><Relationship Id="rId7" Type="http://schemas.openxmlformats.org/officeDocument/2006/relationships/hyperlink" Target="#'N02-S01'!A1"/><Relationship Id="rId12" Type="http://schemas.openxmlformats.org/officeDocument/2006/relationships/hyperlink" Target="#'N01-S01'!A1"/><Relationship Id="rId2" Type="http://schemas.openxmlformats.org/officeDocument/2006/relationships/hyperlink" Target="#'N05-S01'!A1"/><Relationship Id="rId1" Type="http://schemas.openxmlformats.org/officeDocument/2006/relationships/hyperlink" Target="#'N05-S02'!A1"/><Relationship Id="rId6" Type="http://schemas.openxmlformats.org/officeDocument/2006/relationships/hyperlink" Target="#'N02-S02'!A1"/><Relationship Id="rId11" Type="http://schemas.openxmlformats.org/officeDocument/2006/relationships/hyperlink" Target="#'N01-S02'!A1"/><Relationship Id="rId5" Type="http://schemas.openxmlformats.org/officeDocument/2006/relationships/hyperlink" Target="#'N02-S03'!A1"/><Relationship Id="rId10" Type="http://schemas.openxmlformats.org/officeDocument/2006/relationships/hyperlink" Target="#Excel_Ack_Offer_NC"/><Relationship Id="rId4" Type="http://schemas.openxmlformats.org/officeDocument/2006/relationships/hyperlink" Target="#'N02-S04'!A1"/><Relationship Id="rId9" Type="http://schemas.openxmlformats.org/officeDocument/2006/relationships/hyperlink" Target="#Excel_Ack_Compl_NC"/></Relationships>
</file>

<file path=xl/drawings/_rels/drawing4.xml.rels><?xml version="1.0" encoding="UTF-8" standalone="yes"?>
<Relationships xmlns="http://schemas.openxmlformats.org/package/2006/relationships"><Relationship Id="rId8" Type="http://schemas.openxmlformats.org/officeDocument/2006/relationships/hyperlink" Target="#'N02-S03'!A1"/><Relationship Id="rId13" Type="http://schemas.openxmlformats.org/officeDocument/2006/relationships/hyperlink" Target="#'N01-S02'!A1"/><Relationship Id="rId3" Type="http://schemas.openxmlformats.org/officeDocument/2006/relationships/hyperlink" Target="#'n01-S02'!A1"/><Relationship Id="rId7" Type="http://schemas.openxmlformats.org/officeDocument/2006/relationships/hyperlink" Target="#'N02-S04'!A1"/><Relationship Id="rId12" Type="http://schemas.openxmlformats.org/officeDocument/2006/relationships/hyperlink" Target="#Excel_Ack_Offer_NC"/><Relationship Id="rId2" Type="http://schemas.openxmlformats.org/officeDocument/2006/relationships/hyperlink" Target="#'N02-S02'!A1"/><Relationship Id="rId1" Type="http://schemas.openxmlformats.org/officeDocument/2006/relationships/hyperlink" Target="https://www.evergy.com/-/media/documents/ways-to-save/incentives/evergy-terms-final.pdf" TargetMode="External"/><Relationship Id="rId6" Type="http://schemas.openxmlformats.org/officeDocument/2006/relationships/hyperlink" Target="#'n03-S01'!H6"/><Relationship Id="rId11" Type="http://schemas.openxmlformats.org/officeDocument/2006/relationships/hyperlink" Target="#Excel_Ack_Compl_NC"/><Relationship Id="rId5" Type="http://schemas.openxmlformats.org/officeDocument/2006/relationships/hyperlink" Target="#'N05-S01'!A1"/><Relationship Id="rId15" Type="http://schemas.openxmlformats.org/officeDocument/2006/relationships/image" Target="../media/image2.png"/><Relationship Id="rId10" Type="http://schemas.openxmlformats.org/officeDocument/2006/relationships/hyperlink" Target="#Excel_Ack_Contact_NC"/><Relationship Id="rId4" Type="http://schemas.openxmlformats.org/officeDocument/2006/relationships/hyperlink" Target="#'N05-S02'!A1"/><Relationship Id="rId9" Type="http://schemas.openxmlformats.org/officeDocument/2006/relationships/hyperlink" Target="#'N02-S01'!A1"/><Relationship Id="rId14" Type="http://schemas.openxmlformats.org/officeDocument/2006/relationships/hyperlink" Target="#'N01-S01'!A1"/></Relationships>
</file>

<file path=xl/drawings/_rels/drawing5.xml.rels><?xml version="1.0" encoding="UTF-8" standalone="yes"?>
<Relationships xmlns="http://schemas.openxmlformats.org/package/2006/relationships"><Relationship Id="rId8" Type="http://schemas.openxmlformats.org/officeDocument/2006/relationships/hyperlink" Target="#Excel_Ack_Contact_NC"/><Relationship Id="rId13" Type="http://schemas.openxmlformats.org/officeDocument/2006/relationships/image" Target="../media/image2.png"/><Relationship Id="rId3" Type="http://schemas.openxmlformats.org/officeDocument/2006/relationships/hyperlink" Target="#'N05-S02'!A1"/><Relationship Id="rId7" Type="http://schemas.openxmlformats.org/officeDocument/2006/relationships/hyperlink" Target="#'N02-S02'!A1"/><Relationship Id="rId12" Type="http://schemas.openxmlformats.org/officeDocument/2006/relationships/hyperlink" Target="#'N01-S01'!A1"/><Relationship Id="rId2" Type="http://schemas.openxmlformats.org/officeDocument/2006/relationships/hyperlink" Target="#'N02-S01'!A1"/><Relationship Id="rId1" Type="http://schemas.openxmlformats.org/officeDocument/2006/relationships/hyperlink" Target="#'N02-S03'!A1"/><Relationship Id="rId6" Type="http://schemas.openxmlformats.org/officeDocument/2006/relationships/hyperlink" Target="#'N02-S04'!A1"/><Relationship Id="rId11" Type="http://schemas.openxmlformats.org/officeDocument/2006/relationships/hyperlink" Target="#'N01-S02'!A1"/><Relationship Id="rId5" Type="http://schemas.openxmlformats.org/officeDocument/2006/relationships/hyperlink" Target="#'n03-S01'!H6"/><Relationship Id="rId10" Type="http://schemas.openxmlformats.org/officeDocument/2006/relationships/hyperlink" Target="#Excel_Ack_Offer_NC"/><Relationship Id="rId4" Type="http://schemas.openxmlformats.org/officeDocument/2006/relationships/hyperlink" Target="#'N05-S01'!A1"/><Relationship Id="rId9" Type="http://schemas.openxmlformats.org/officeDocument/2006/relationships/hyperlink" Target="#Excel_Ack_Compl_NC"/></Relationships>
</file>

<file path=xl/drawings/_rels/drawing6.xml.rels><?xml version="1.0" encoding="UTF-8" standalone="yes"?>
<Relationships xmlns="http://schemas.openxmlformats.org/package/2006/relationships"><Relationship Id="rId8" Type="http://schemas.openxmlformats.org/officeDocument/2006/relationships/hyperlink" Target="#Excel_Ack_Contact_NC"/><Relationship Id="rId13" Type="http://schemas.openxmlformats.org/officeDocument/2006/relationships/image" Target="../media/image2.png"/><Relationship Id="rId3" Type="http://schemas.openxmlformats.org/officeDocument/2006/relationships/hyperlink" Target="#'N05-S02'!A1"/><Relationship Id="rId7" Type="http://schemas.openxmlformats.org/officeDocument/2006/relationships/hyperlink" Target="#'N02-S01'!A1"/><Relationship Id="rId12" Type="http://schemas.openxmlformats.org/officeDocument/2006/relationships/hyperlink" Target="#'N01-S01'!A1"/><Relationship Id="rId2" Type="http://schemas.openxmlformats.org/officeDocument/2006/relationships/hyperlink" Target="#'N02-S02'!A1"/><Relationship Id="rId1" Type="http://schemas.openxmlformats.org/officeDocument/2006/relationships/hyperlink" Target="#'N02-S04'!A1"/><Relationship Id="rId6" Type="http://schemas.openxmlformats.org/officeDocument/2006/relationships/hyperlink" Target="#'N02-S03'!A1"/><Relationship Id="rId11" Type="http://schemas.openxmlformats.org/officeDocument/2006/relationships/hyperlink" Target="#'N01-S02'!A1"/><Relationship Id="rId5" Type="http://schemas.openxmlformats.org/officeDocument/2006/relationships/hyperlink" Target="#'n03-S01'!H6"/><Relationship Id="rId10" Type="http://schemas.openxmlformats.org/officeDocument/2006/relationships/hyperlink" Target="#Excel_Ack_Offer_NC"/><Relationship Id="rId4" Type="http://schemas.openxmlformats.org/officeDocument/2006/relationships/hyperlink" Target="#'N05-S01'!A1"/><Relationship Id="rId9" Type="http://schemas.openxmlformats.org/officeDocument/2006/relationships/hyperlink" Target="#Excel_Ack_Compl_NC"/></Relationships>
</file>

<file path=xl/drawings/_rels/drawing7.xml.rels><?xml version="1.0" encoding="UTF-8" standalone="yes"?>
<Relationships xmlns="http://schemas.openxmlformats.org/package/2006/relationships"><Relationship Id="rId8" Type="http://schemas.openxmlformats.org/officeDocument/2006/relationships/hyperlink" Target="#'N02-S03'!A1"/><Relationship Id="rId13" Type="http://schemas.openxmlformats.org/officeDocument/2006/relationships/hyperlink" Target="#'N02-S02'!A1"/><Relationship Id="rId18" Type="http://schemas.openxmlformats.org/officeDocument/2006/relationships/hyperlink" Target="#'N01-S02'!A1"/><Relationship Id="rId3" Type="http://schemas.openxmlformats.org/officeDocument/2006/relationships/image" Target="../media/image5.svg"/><Relationship Id="rId7" Type="http://schemas.openxmlformats.org/officeDocument/2006/relationships/hyperlink" Target="#'N03-S01'!H6"/><Relationship Id="rId12" Type="http://schemas.openxmlformats.org/officeDocument/2006/relationships/hyperlink" Target="#'N02-S04'!A1"/><Relationship Id="rId17" Type="http://schemas.openxmlformats.org/officeDocument/2006/relationships/hyperlink" Target="#Excel_Ack_Offer_NC"/><Relationship Id="rId2" Type="http://schemas.openxmlformats.org/officeDocument/2006/relationships/image" Target="../media/image4.png"/><Relationship Id="rId16" Type="http://schemas.openxmlformats.org/officeDocument/2006/relationships/hyperlink" Target="#Excel_Ack_Compl_NC"/><Relationship Id="rId1" Type="http://schemas.openxmlformats.org/officeDocument/2006/relationships/hyperlink" Target="http://www.evergyenergysolutions.com/wp-content/uploads/Evergy-New-Construction-Handbook.pdf" TargetMode="External"/><Relationship Id="rId6" Type="http://schemas.openxmlformats.org/officeDocument/2006/relationships/image" Target="../media/image2.png"/><Relationship Id="rId11" Type="http://schemas.openxmlformats.org/officeDocument/2006/relationships/hyperlink" Target="#'n03-S01'!H6"/><Relationship Id="rId5" Type="http://schemas.openxmlformats.org/officeDocument/2006/relationships/image" Target="../media/image6.png"/><Relationship Id="rId15" Type="http://schemas.openxmlformats.org/officeDocument/2006/relationships/hyperlink" Target="#Excel_Ack_Contact_NC"/><Relationship Id="rId10" Type="http://schemas.openxmlformats.org/officeDocument/2006/relationships/hyperlink" Target="#'N05-S01'!A1"/><Relationship Id="rId19" Type="http://schemas.openxmlformats.org/officeDocument/2006/relationships/hyperlink" Target="#'N01-S01'!A1"/><Relationship Id="rId4" Type="http://schemas.openxmlformats.org/officeDocument/2006/relationships/hyperlink" Target="http://www.lmenergyefficiency.com/wp-content/uploads/Evergy-New-Construction-Handbook.pdf" TargetMode="External"/><Relationship Id="rId9" Type="http://schemas.openxmlformats.org/officeDocument/2006/relationships/hyperlink" Target="#'N05-S02'!A1"/><Relationship Id="rId14" Type="http://schemas.openxmlformats.org/officeDocument/2006/relationships/hyperlink" Target="#'N02-S01'!A1"/></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N05-S01'!A1"/><Relationship Id="rId18" Type="http://schemas.openxmlformats.org/officeDocument/2006/relationships/hyperlink" Target="#'N02-S03'!A1"/><Relationship Id="rId26" Type="http://schemas.openxmlformats.org/officeDocument/2006/relationships/image" Target="../media/image2.png"/><Relationship Id="rId3" Type="http://schemas.openxmlformats.org/officeDocument/2006/relationships/image" Target="../media/image5.svg"/><Relationship Id="rId21" Type="http://schemas.openxmlformats.org/officeDocument/2006/relationships/hyperlink" Target="#Excel_Ack_Contact_NC"/><Relationship Id="rId7" Type="http://schemas.openxmlformats.org/officeDocument/2006/relationships/hyperlink" Target="#'N03-S04'!A1"/><Relationship Id="rId12" Type="http://schemas.openxmlformats.org/officeDocument/2006/relationships/image" Target="../media/image10.png"/><Relationship Id="rId17" Type="http://schemas.openxmlformats.org/officeDocument/2006/relationships/hyperlink" Target="#'N02-S04'!A1"/><Relationship Id="rId25" Type="http://schemas.openxmlformats.org/officeDocument/2006/relationships/hyperlink" Target="#'N01-S01'!A1"/><Relationship Id="rId2" Type="http://schemas.openxmlformats.org/officeDocument/2006/relationships/image" Target="../media/image4.png"/><Relationship Id="rId16" Type="http://schemas.openxmlformats.org/officeDocument/2006/relationships/hyperlink" Target="#'n03-S01'!H6"/><Relationship Id="rId20" Type="http://schemas.openxmlformats.org/officeDocument/2006/relationships/hyperlink" Target="#'N02-S01'!A1"/><Relationship Id="rId1" Type="http://schemas.openxmlformats.org/officeDocument/2006/relationships/hyperlink" Target="http://www.evergyenergysolutions.com/wp-content/uploads/Evergy-New-Construction-Handbook.pdf" TargetMode="External"/><Relationship Id="rId6" Type="http://schemas.microsoft.com/office/2007/relationships/hdphoto" Target="../media/hdphoto1.wdp"/><Relationship Id="rId11" Type="http://schemas.openxmlformats.org/officeDocument/2006/relationships/hyperlink" Target="#'N04-S01'!A1"/><Relationship Id="rId24" Type="http://schemas.openxmlformats.org/officeDocument/2006/relationships/hyperlink" Target="#'N01-S02'!A1"/><Relationship Id="rId5" Type="http://schemas.openxmlformats.org/officeDocument/2006/relationships/image" Target="../media/image7.png"/><Relationship Id="rId15" Type="http://schemas.openxmlformats.org/officeDocument/2006/relationships/hyperlink" Target="#'N05-S02'!A1"/><Relationship Id="rId23" Type="http://schemas.openxmlformats.org/officeDocument/2006/relationships/hyperlink" Target="#Excel_Ack_Offer_NC"/><Relationship Id="rId28" Type="http://schemas.openxmlformats.org/officeDocument/2006/relationships/image" Target="../media/image11.png"/><Relationship Id="rId10" Type="http://schemas.openxmlformats.org/officeDocument/2006/relationships/image" Target="../media/image9.png"/><Relationship Id="rId19" Type="http://schemas.openxmlformats.org/officeDocument/2006/relationships/hyperlink" Target="#'N02-S02'!A1"/><Relationship Id="rId4" Type="http://schemas.openxmlformats.org/officeDocument/2006/relationships/hyperlink" Target="http://www.lmenergyefficiency.com/wp-content/uploads/Evergy-New-Construction-Handbook.pdf" TargetMode="External"/><Relationship Id="rId9" Type="http://schemas.openxmlformats.org/officeDocument/2006/relationships/hyperlink" Target="#'N03-S02'!A1"/><Relationship Id="rId14" Type="http://schemas.openxmlformats.org/officeDocument/2006/relationships/hyperlink" Target="#'n02-S04'!A1"/><Relationship Id="rId22" Type="http://schemas.openxmlformats.org/officeDocument/2006/relationships/hyperlink" Target="#Excel_Ack_Compl_NC"/><Relationship Id="rId27" Type="http://schemas.openxmlformats.org/officeDocument/2006/relationships/hyperlink" Target="#'N04-S09'!A1"/></Relationships>
</file>

<file path=xl/drawings/_rels/drawing9.xml.rels><?xml version="1.0" encoding="UTF-8" standalone="yes"?>
<Relationships xmlns="http://schemas.openxmlformats.org/package/2006/relationships"><Relationship Id="rId8" Type="http://schemas.openxmlformats.org/officeDocument/2006/relationships/hyperlink" Target="#'N02-S03'!A1"/><Relationship Id="rId13" Type="http://schemas.openxmlformats.org/officeDocument/2006/relationships/hyperlink" Target="#Excel_Ack_Offer_NC"/><Relationship Id="rId3" Type="http://schemas.openxmlformats.org/officeDocument/2006/relationships/image" Target="../media/image9.png"/><Relationship Id="rId7" Type="http://schemas.openxmlformats.org/officeDocument/2006/relationships/hyperlink" Target="#'N02-S04'!A1"/><Relationship Id="rId12" Type="http://schemas.openxmlformats.org/officeDocument/2006/relationships/hyperlink" Target="#Excel_Ack_Compl_NC"/><Relationship Id="rId2" Type="http://schemas.openxmlformats.org/officeDocument/2006/relationships/hyperlink" Target="#'N03-S03-2a'!A1"/><Relationship Id="rId16" Type="http://schemas.openxmlformats.org/officeDocument/2006/relationships/image" Target="../media/image2.png"/><Relationship Id="rId1" Type="http://schemas.openxmlformats.org/officeDocument/2006/relationships/hyperlink" Target="#'N03-S03-1a'!A1"/><Relationship Id="rId6" Type="http://schemas.openxmlformats.org/officeDocument/2006/relationships/hyperlink" Target="#'n03-S01'!H6"/><Relationship Id="rId11" Type="http://schemas.openxmlformats.org/officeDocument/2006/relationships/hyperlink" Target="#Excel_Ack_Contact_NC"/><Relationship Id="rId5" Type="http://schemas.openxmlformats.org/officeDocument/2006/relationships/hyperlink" Target="#'N05-S01'!A1"/><Relationship Id="rId15" Type="http://schemas.openxmlformats.org/officeDocument/2006/relationships/hyperlink" Target="#'N01-S01'!A1"/><Relationship Id="rId10" Type="http://schemas.openxmlformats.org/officeDocument/2006/relationships/hyperlink" Target="#'N02-S01'!A1"/><Relationship Id="rId4" Type="http://schemas.openxmlformats.org/officeDocument/2006/relationships/hyperlink" Target="#'N05-S02'!A1"/><Relationship Id="rId9" Type="http://schemas.openxmlformats.org/officeDocument/2006/relationships/hyperlink" Target="#'N02-S02'!A1"/><Relationship Id="rId14" Type="http://schemas.openxmlformats.org/officeDocument/2006/relationships/hyperlink" Target="#'N01-S02'!A1"/></Relationships>
</file>

<file path=xl/drawings/drawing1.xml><?xml version="1.0" encoding="utf-8"?>
<xdr:wsDr xmlns:xdr="http://schemas.openxmlformats.org/drawingml/2006/spreadsheetDrawing" xmlns:a="http://schemas.openxmlformats.org/drawingml/2006/main">
  <xdr:twoCellAnchor editAs="oneCell">
    <xdr:from>
      <xdr:col>3</xdr:col>
      <xdr:colOff>171424</xdr:colOff>
      <xdr:row>3</xdr:row>
      <xdr:rowOff>112060</xdr:rowOff>
    </xdr:from>
    <xdr:to>
      <xdr:col>40</xdr:col>
      <xdr:colOff>99001</xdr:colOff>
      <xdr:row>40</xdr:row>
      <xdr:rowOff>133395</xdr:rowOff>
    </xdr:to>
    <xdr:grpSp>
      <xdr:nvGrpSpPr>
        <xdr:cNvPr id="8" name="Welcome">
          <a:extLst>
            <a:ext uri="{FF2B5EF4-FFF2-40B4-BE49-F238E27FC236}">
              <a16:creationId xmlns:a16="http://schemas.microsoft.com/office/drawing/2014/main" id="{00000000-0008-0000-2C00-000008000000}"/>
            </a:ext>
          </a:extLst>
        </xdr:cNvPr>
        <xdr:cNvGrpSpPr/>
      </xdr:nvGrpSpPr>
      <xdr:grpSpPr>
        <a:xfrm>
          <a:off x="1112718" y="717178"/>
          <a:ext cx="11536871" cy="7484452"/>
          <a:chOff x="1128687" y="712135"/>
          <a:chExt cx="11733814" cy="7422260"/>
        </a:xfrm>
      </xdr:grpSpPr>
      <xdr:pic>
        <xdr:nvPicPr>
          <xdr:cNvPr id="3" name="Welcome">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28687" y="712135"/>
            <a:ext cx="11733814" cy="7422260"/>
          </a:xfrm>
          <a:prstGeom prst="rect">
            <a:avLst/>
          </a:prstGeom>
        </xdr:spPr>
      </xdr:pic>
      <xdr:sp macro="" textlink="">
        <xdr:nvSpPr>
          <xdr:cNvPr id="38" name="DLC">
            <a:hlinkClick xmlns:r="http://schemas.openxmlformats.org/officeDocument/2006/relationships" r:id="rId2" tooltip="View DLC Qualified Product List"/>
            <a:extLst>
              <a:ext uri="{FF2B5EF4-FFF2-40B4-BE49-F238E27FC236}">
                <a16:creationId xmlns:a16="http://schemas.microsoft.com/office/drawing/2014/main" id="{00000000-0008-0000-2C00-000026000000}"/>
              </a:ext>
            </a:extLst>
          </xdr:cNvPr>
          <xdr:cNvSpPr/>
        </xdr:nvSpPr>
        <xdr:spPr>
          <a:xfrm>
            <a:off x="10994651" y="6445624"/>
            <a:ext cx="1013293" cy="10804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EE">
            <a:hlinkClick xmlns:r="http://schemas.openxmlformats.org/officeDocument/2006/relationships" r:id="rId3" tooltip="View Commercial Lighting Qualified Product Lists"/>
            <a:extLst>
              <a:ext uri="{FF2B5EF4-FFF2-40B4-BE49-F238E27FC236}">
                <a16:creationId xmlns:a16="http://schemas.microsoft.com/office/drawing/2014/main" id="{00000000-0008-0000-2C00-000027000000}"/>
              </a:ext>
            </a:extLst>
          </xdr:cNvPr>
          <xdr:cNvSpPr/>
        </xdr:nvSpPr>
        <xdr:spPr>
          <a:xfrm>
            <a:off x="9595037" y="6368864"/>
            <a:ext cx="1116945" cy="11441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PACE">
            <a:hlinkClick xmlns:r="http://schemas.openxmlformats.org/officeDocument/2006/relationships" r:id="rId4" tooltip="View PACE Financing Information"/>
            <a:extLst>
              <a:ext uri="{FF2B5EF4-FFF2-40B4-BE49-F238E27FC236}">
                <a16:creationId xmlns:a16="http://schemas.microsoft.com/office/drawing/2014/main" id="{00000000-0008-0000-2C00-000024000000}"/>
              </a:ext>
            </a:extLst>
          </xdr:cNvPr>
          <xdr:cNvSpPr/>
        </xdr:nvSpPr>
        <xdr:spPr>
          <a:xfrm>
            <a:off x="8212512" y="6324040"/>
            <a:ext cx="1135978" cy="10875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Energy Star">
            <a:hlinkClick xmlns:r="http://schemas.openxmlformats.org/officeDocument/2006/relationships" r:id="rId5" tooltip="View ENERGY STAR Certified Products"/>
            <a:extLst>
              <a:ext uri="{FF2B5EF4-FFF2-40B4-BE49-F238E27FC236}">
                <a16:creationId xmlns:a16="http://schemas.microsoft.com/office/drawing/2014/main" id="{00000000-0008-0000-2C00-000025000000}"/>
              </a:ext>
            </a:extLst>
          </xdr:cNvPr>
          <xdr:cNvSpPr/>
        </xdr:nvSpPr>
        <xdr:spPr>
          <a:xfrm>
            <a:off x="6594663" y="6391276"/>
            <a:ext cx="1353390" cy="10794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TA">
            <a:hlinkClick xmlns:r="http://schemas.openxmlformats.org/officeDocument/2006/relationships" r:id="rId6" tooltip="View Trade Ally Resources"/>
            <a:extLst>
              <a:ext uri="{FF2B5EF4-FFF2-40B4-BE49-F238E27FC236}">
                <a16:creationId xmlns:a16="http://schemas.microsoft.com/office/drawing/2014/main" id="{00000000-0008-0000-2C00-000023000000}"/>
              </a:ext>
            </a:extLst>
          </xdr:cNvPr>
          <xdr:cNvSpPr/>
        </xdr:nvSpPr>
        <xdr:spPr>
          <a:xfrm>
            <a:off x="5601820" y="6391275"/>
            <a:ext cx="739029" cy="10960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Terms">
            <a:hlinkClick xmlns:r="http://schemas.openxmlformats.org/officeDocument/2006/relationships" r:id="rId7" tooltip="View Terms and Conditions"/>
            <a:extLst>
              <a:ext uri="{FF2B5EF4-FFF2-40B4-BE49-F238E27FC236}">
                <a16:creationId xmlns:a16="http://schemas.microsoft.com/office/drawing/2014/main" id="{00000000-0008-0000-2C00-000022000000}"/>
              </a:ext>
            </a:extLst>
          </xdr:cNvPr>
          <xdr:cNvSpPr/>
        </xdr:nvSpPr>
        <xdr:spPr>
          <a:xfrm>
            <a:off x="4450697" y="6400801"/>
            <a:ext cx="811586" cy="10652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Manage">
            <a:hlinkClick xmlns:r="http://schemas.openxmlformats.org/officeDocument/2006/relationships" r:id="rId8" tooltip="Log in to your Online Account"/>
            <a:extLst>
              <a:ext uri="{FF2B5EF4-FFF2-40B4-BE49-F238E27FC236}">
                <a16:creationId xmlns:a16="http://schemas.microsoft.com/office/drawing/2014/main" id="{00000000-0008-0000-2C00-000021000000}"/>
              </a:ext>
            </a:extLst>
          </xdr:cNvPr>
          <xdr:cNvSpPr/>
        </xdr:nvSpPr>
        <xdr:spPr>
          <a:xfrm>
            <a:off x="3235699" y="6357659"/>
            <a:ext cx="873499" cy="10948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Ways to Save">
            <a:hlinkClick xmlns:r="http://schemas.openxmlformats.org/officeDocument/2006/relationships" r:id="rId9" tooltip="View Additional Ways to Save"/>
            <a:extLst>
              <a:ext uri="{FF2B5EF4-FFF2-40B4-BE49-F238E27FC236}">
                <a16:creationId xmlns:a16="http://schemas.microsoft.com/office/drawing/2014/main" id="{00000000-0008-0000-2C00-00001A000000}"/>
              </a:ext>
            </a:extLst>
          </xdr:cNvPr>
          <xdr:cNvSpPr/>
        </xdr:nvSpPr>
        <xdr:spPr>
          <a:xfrm>
            <a:off x="1943661" y="6407525"/>
            <a:ext cx="873498" cy="10964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More RCx" hidden="1">
            <a:hlinkClick xmlns:r="http://schemas.openxmlformats.org/officeDocument/2006/relationships" r:id="rId10" tooltip="Read more about RCx Incentives"/>
            <a:extLst>
              <a:ext uri="{FF2B5EF4-FFF2-40B4-BE49-F238E27FC236}">
                <a16:creationId xmlns:a16="http://schemas.microsoft.com/office/drawing/2014/main" id="{00000000-0008-0000-2C00-000028000000}"/>
              </a:ext>
            </a:extLst>
          </xdr:cNvPr>
          <xdr:cNvSpPr/>
        </xdr:nvSpPr>
        <xdr:spPr>
          <a:xfrm>
            <a:off x="8591552" y="4619626"/>
            <a:ext cx="2026584" cy="2112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More Cstm">
            <a:hlinkClick xmlns:r="http://schemas.openxmlformats.org/officeDocument/2006/relationships" r:id="rId11" tooltip="Read more about Custom Incentives"/>
            <a:extLst>
              <a:ext uri="{FF2B5EF4-FFF2-40B4-BE49-F238E27FC236}">
                <a16:creationId xmlns:a16="http://schemas.microsoft.com/office/drawing/2014/main" id="{00000000-0008-0000-2C00-000019000000}"/>
              </a:ext>
            </a:extLst>
          </xdr:cNvPr>
          <xdr:cNvSpPr/>
        </xdr:nvSpPr>
        <xdr:spPr>
          <a:xfrm>
            <a:off x="8598836" y="4368613"/>
            <a:ext cx="1998288" cy="1776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More Std">
            <a:hlinkClick xmlns:r="http://schemas.openxmlformats.org/officeDocument/2006/relationships" r:id="rId11" tooltip="Read more about Standard Incentives"/>
            <a:extLst>
              <a:ext uri="{FF2B5EF4-FFF2-40B4-BE49-F238E27FC236}">
                <a16:creationId xmlns:a16="http://schemas.microsoft.com/office/drawing/2014/main" id="{00000000-0008-0000-2C00-000017000000}"/>
              </a:ext>
            </a:extLst>
          </xdr:cNvPr>
          <xdr:cNvSpPr/>
        </xdr:nvSpPr>
        <xdr:spPr>
          <a:xfrm>
            <a:off x="8560174" y="4144497"/>
            <a:ext cx="2038871" cy="1439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NC">
            <a:hlinkClick xmlns:r="http://schemas.openxmlformats.org/officeDocument/2006/relationships" r:id="rId12" tooltip="View the New Construction Handbook"/>
            <a:extLst>
              <a:ext uri="{FF2B5EF4-FFF2-40B4-BE49-F238E27FC236}">
                <a16:creationId xmlns:a16="http://schemas.microsoft.com/office/drawing/2014/main" id="{00000000-0008-0000-2C00-000029000000}"/>
              </a:ext>
            </a:extLst>
          </xdr:cNvPr>
          <xdr:cNvSpPr/>
        </xdr:nvSpPr>
        <xdr:spPr>
          <a:xfrm>
            <a:off x="3141010" y="4419600"/>
            <a:ext cx="2580434" cy="2207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26</xdr:col>
      <xdr:colOff>257736</xdr:colOff>
      <xdr:row>23</xdr:row>
      <xdr:rowOff>44824</xdr:rowOff>
    </xdr:from>
    <xdr:to>
      <xdr:col>32</xdr:col>
      <xdr:colOff>268941</xdr:colOff>
      <xdr:row>24</xdr:row>
      <xdr:rowOff>33618</xdr:rowOff>
    </xdr:to>
    <xdr:sp macro="" textlink="">
      <xdr:nvSpPr>
        <xdr:cNvPr id="2" name="RCx Cover Up">
          <a:extLst>
            <a:ext uri="{FF2B5EF4-FFF2-40B4-BE49-F238E27FC236}">
              <a16:creationId xmlns:a16="http://schemas.microsoft.com/office/drawing/2014/main" id="{9D307298-7A70-DD83-C30B-8D1D938F89DB}"/>
            </a:ext>
          </a:extLst>
        </xdr:cNvPr>
        <xdr:cNvSpPr/>
      </xdr:nvSpPr>
      <xdr:spPr>
        <a:xfrm>
          <a:off x="8415618" y="4684059"/>
          <a:ext cx="1893794" cy="190500"/>
        </a:xfrm>
        <a:prstGeom prst="rect">
          <a:avLst/>
        </a:prstGeom>
        <a:solidFill>
          <a:srgbClr val="FFFFFF"/>
        </a:solidFill>
        <a:ln>
          <a:solidFill>
            <a:srgbClr val="FFFF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42</xdr:col>
      <xdr:colOff>123264</xdr:colOff>
      <xdr:row>3</xdr:row>
      <xdr:rowOff>100854</xdr:rowOff>
    </xdr:from>
    <xdr:to>
      <xdr:col>44</xdr:col>
      <xdr:colOff>26087</xdr:colOff>
      <xdr:row>5</xdr:row>
      <xdr:rowOff>108922</xdr:rowOff>
    </xdr:to>
    <xdr:sp macro="" textlink="">
      <xdr:nvSpPr>
        <xdr:cNvPr id="17" name="Arrow: Right N01-S02">
          <a:hlinkClick xmlns:r="http://schemas.openxmlformats.org/officeDocument/2006/relationships" r:id="rId13" tooltip="Forward: Instructions"/>
          <a:extLst>
            <a:ext uri="{FF2B5EF4-FFF2-40B4-BE49-F238E27FC236}">
              <a16:creationId xmlns:a16="http://schemas.microsoft.com/office/drawing/2014/main" id="{00000000-0008-0000-2C00-000011000000}"/>
            </a:ext>
          </a:extLst>
        </xdr:cNvPr>
        <xdr:cNvSpPr/>
      </xdr:nvSpPr>
      <xdr:spPr>
        <a:xfrm>
          <a:off x="13324914" y="700929"/>
          <a:ext cx="540998"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49</xdr:col>
      <xdr:colOff>0</xdr:colOff>
      <xdr:row>3</xdr:row>
      <xdr:rowOff>0</xdr:rowOff>
    </xdr:to>
    <xdr:grpSp>
      <xdr:nvGrpSpPr>
        <xdr:cNvPr id="7" name="Header">
          <a:extLst>
            <a:ext uri="{FF2B5EF4-FFF2-40B4-BE49-F238E27FC236}">
              <a16:creationId xmlns:a16="http://schemas.microsoft.com/office/drawing/2014/main" id="{00000000-0008-0000-2C00-000007000000}"/>
            </a:ext>
          </a:extLst>
        </xdr:cNvPr>
        <xdr:cNvGrpSpPr/>
      </xdr:nvGrpSpPr>
      <xdr:grpSpPr>
        <a:xfrm>
          <a:off x="0" y="0"/>
          <a:ext cx="15374471" cy="605118"/>
          <a:chOff x="0" y="0"/>
          <a:chExt cx="15813740" cy="591825"/>
        </a:xfrm>
      </xdr:grpSpPr>
      <xdr:grpSp>
        <xdr:nvGrpSpPr>
          <xdr:cNvPr id="6" name="Header">
            <a:extLst>
              <a:ext uri="{FF2B5EF4-FFF2-40B4-BE49-F238E27FC236}">
                <a16:creationId xmlns:a16="http://schemas.microsoft.com/office/drawing/2014/main" id="{00000000-0008-0000-2C00-000006000000}"/>
              </a:ext>
            </a:extLst>
          </xdr:cNvPr>
          <xdr:cNvGrpSpPr/>
        </xdr:nvGrpSpPr>
        <xdr:grpSpPr>
          <a:xfrm>
            <a:off x="0" y="0"/>
            <a:ext cx="15813740" cy="591825"/>
            <a:chOff x="0" y="0"/>
            <a:chExt cx="15813740" cy="591825"/>
          </a:xfrm>
        </xdr:grpSpPr>
        <xdr:sp macro="" textlink="">
          <xdr:nvSpPr>
            <xdr:cNvPr id="11" name="Reference">
              <a:extLst>
                <a:ext uri="{FF2B5EF4-FFF2-40B4-BE49-F238E27FC236}">
                  <a16:creationId xmlns:a16="http://schemas.microsoft.com/office/drawing/2014/main" id="{00000000-0008-0000-2C00-00000B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ontact">
              <a:hlinkClick xmlns:r="http://schemas.openxmlformats.org/officeDocument/2006/relationships" r:id="rId14" tooltip="Contact"/>
              <a:extLst>
                <a:ext uri="{FF2B5EF4-FFF2-40B4-BE49-F238E27FC236}">
                  <a16:creationId xmlns:a16="http://schemas.microsoft.com/office/drawing/2014/main" id="{00000000-0008-0000-2C00-00001B000000}"/>
                </a:ext>
              </a:extLst>
            </xdr:cNvPr>
            <xdr:cNvSpPr/>
          </xdr:nvSpPr>
          <xdr:spPr>
            <a:xfrm>
              <a:off x="14522822"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mpletion">
              <a:hlinkClick xmlns:r="http://schemas.openxmlformats.org/officeDocument/2006/relationships" r:id="rId15" tooltip=" "/>
              <a:extLst>
                <a:ext uri="{FF2B5EF4-FFF2-40B4-BE49-F238E27FC236}">
                  <a16:creationId xmlns:a16="http://schemas.microsoft.com/office/drawing/2014/main" id="{00000000-0008-0000-2C00-000016000000}"/>
                </a:ext>
              </a:extLst>
            </xdr:cNvPr>
            <xdr:cNvSpPr/>
          </xdr:nvSpPr>
          <xdr:spPr>
            <a:xfrm>
              <a:off x="1323190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Offer">
              <a:hlinkClick xmlns:r="http://schemas.openxmlformats.org/officeDocument/2006/relationships" r:id="rId16" tooltip=" "/>
              <a:extLst>
                <a:ext uri="{FF2B5EF4-FFF2-40B4-BE49-F238E27FC236}">
                  <a16:creationId xmlns:a16="http://schemas.microsoft.com/office/drawing/2014/main" id="{00000000-0008-0000-2C00-000015000000}"/>
                </a:ext>
              </a:extLst>
            </xdr:cNvPr>
            <xdr:cNvSpPr/>
          </xdr:nvSpPr>
          <xdr:spPr>
            <a:xfrm>
              <a:off x="11940988"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Instructions">
              <a:hlinkClick xmlns:r="http://schemas.openxmlformats.org/officeDocument/2006/relationships" r:id="rId13" tooltip="Instructions"/>
              <a:extLst>
                <a:ext uri="{FF2B5EF4-FFF2-40B4-BE49-F238E27FC236}">
                  <a16:creationId xmlns:a16="http://schemas.microsoft.com/office/drawing/2014/main" id="{00000000-0008-0000-2C00-000013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Welcome">
              <a:hlinkClick xmlns:r="http://schemas.openxmlformats.org/officeDocument/2006/relationships" r:id="rId17" tooltip="Welcome"/>
              <a:extLst>
                <a:ext uri="{FF2B5EF4-FFF2-40B4-BE49-F238E27FC236}">
                  <a16:creationId xmlns:a16="http://schemas.microsoft.com/office/drawing/2014/main" id="{00000000-0008-0000-2C00-000012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4" name="Evergy Logo">
              <a:extLst>
                <a:ext uri="{FF2B5EF4-FFF2-40B4-BE49-F238E27FC236}">
                  <a16:creationId xmlns:a16="http://schemas.microsoft.com/office/drawing/2014/main" id="{00000000-0008-0000-2C00-000018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5" name="Dividers">
            <a:extLst>
              <a:ext uri="{FF2B5EF4-FFF2-40B4-BE49-F238E27FC236}">
                <a16:creationId xmlns:a16="http://schemas.microsoft.com/office/drawing/2014/main" id="{00000000-0008-0000-2C00-000005000000}"/>
              </a:ext>
            </a:extLst>
          </xdr:cNvPr>
          <xdr:cNvGrpSpPr/>
        </xdr:nvGrpSpPr>
        <xdr:grpSpPr>
          <a:xfrm>
            <a:off x="1615312" y="85725"/>
            <a:ext cx="12917035" cy="423022"/>
            <a:chOff x="1615312" y="85725"/>
            <a:chExt cx="12917035" cy="423022"/>
          </a:xfrm>
        </xdr:grpSpPr>
        <xdr:cxnSp macro="">
          <xdr:nvCxnSpPr>
            <xdr:cNvPr id="14" name="Divider 4">
              <a:extLst>
                <a:ext uri="{FF2B5EF4-FFF2-40B4-BE49-F238E27FC236}">
                  <a16:creationId xmlns:a16="http://schemas.microsoft.com/office/drawing/2014/main" id="{00000000-0008-0000-2C00-00000E000000}"/>
                </a:ext>
              </a:extLst>
            </xdr:cNvPr>
            <xdr:cNvCxnSpPr/>
          </xdr:nvCxnSpPr>
          <xdr:spPr>
            <a:xfrm>
              <a:off x="1452282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2C00-00001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2">
              <a:extLst>
                <a:ext uri="{FF2B5EF4-FFF2-40B4-BE49-F238E27FC236}">
                  <a16:creationId xmlns:a16="http://schemas.microsoft.com/office/drawing/2014/main" id="{00000000-0008-0000-2C00-00000F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1">
              <a:extLst>
                <a:ext uri="{FF2B5EF4-FFF2-40B4-BE49-F238E27FC236}">
                  <a16:creationId xmlns:a16="http://schemas.microsoft.com/office/drawing/2014/main" id="{00000000-0008-0000-2C00-00000D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237563</xdr:colOff>
      <xdr:row>12</xdr:row>
      <xdr:rowOff>17929</xdr:rowOff>
    </xdr:from>
    <xdr:to>
      <xdr:col>33</xdr:col>
      <xdr:colOff>26893</xdr:colOff>
      <xdr:row>13</xdr:row>
      <xdr:rowOff>33618</xdr:rowOff>
    </xdr:to>
    <xdr:sp macro="" textlink="">
      <xdr:nvSpPr>
        <xdr:cNvPr id="27" name="Ltg. Worksheet">
          <a:hlinkClick xmlns:r="http://schemas.openxmlformats.org/officeDocument/2006/relationships" r:id="rId1"/>
          <a:extLst>
            <a:ext uri="{FF2B5EF4-FFF2-40B4-BE49-F238E27FC236}">
              <a16:creationId xmlns:a16="http://schemas.microsoft.com/office/drawing/2014/main" id="{00000000-0008-0000-3500-00001B000000}"/>
            </a:ext>
          </a:extLst>
        </xdr:cNvPr>
        <xdr:cNvSpPr/>
      </xdr:nvSpPr>
      <xdr:spPr>
        <a:xfrm>
          <a:off x="10242175" y="2384611"/>
          <a:ext cx="434789" cy="2129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26</xdr:col>
      <xdr:colOff>140074</xdr:colOff>
      <xdr:row>10</xdr:row>
      <xdr:rowOff>56028</xdr:rowOff>
    </xdr:from>
    <xdr:to>
      <xdr:col>35</xdr:col>
      <xdr:colOff>62753</xdr:colOff>
      <xdr:row>11</xdr:row>
      <xdr:rowOff>80681</xdr:rowOff>
    </xdr:to>
    <xdr:sp macro="" textlink="">
      <xdr:nvSpPr>
        <xdr:cNvPr id="2" name="ComCheck">
          <a:hlinkClick xmlns:r="http://schemas.openxmlformats.org/officeDocument/2006/relationships" r:id="rId2"/>
          <a:extLst>
            <a:ext uri="{FF2B5EF4-FFF2-40B4-BE49-F238E27FC236}">
              <a16:creationId xmlns:a16="http://schemas.microsoft.com/office/drawing/2014/main" id="{00000000-0008-0000-3500-000002000000}"/>
            </a:ext>
          </a:extLst>
        </xdr:cNvPr>
        <xdr:cNvSpPr/>
      </xdr:nvSpPr>
      <xdr:spPr>
        <a:xfrm>
          <a:off x="8531039" y="2028263"/>
          <a:ext cx="2827243" cy="2218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42</xdr:col>
      <xdr:colOff>145676</xdr:colOff>
      <xdr:row>8</xdr:row>
      <xdr:rowOff>100854</xdr:rowOff>
    </xdr:from>
    <xdr:to>
      <xdr:col>44</xdr:col>
      <xdr:colOff>48499</xdr:colOff>
      <xdr:row>10</xdr:row>
      <xdr:rowOff>108922</xdr:rowOff>
    </xdr:to>
    <xdr:sp macro="" textlink="">
      <xdr:nvSpPr>
        <xdr:cNvPr id="13" name="Arrow: Right N3S3-1b">
          <a:hlinkClick xmlns:r="http://schemas.openxmlformats.org/officeDocument/2006/relationships" r:id="rId3" tooltip="Forward: Interior Lighting: Step 2 - Measure Input"/>
          <a:extLst>
            <a:ext uri="{FF2B5EF4-FFF2-40B4-BE49-F238E27FC236}">
              <a16:creationId xmlns:a16="http://schemas.microsoft.com/office/drawing/2014/main" id="{00000000-0008-0000-3500-00000D000000}"/>
            </a:ext>
          </a:extLst>
        </xdr:cNvPr>
        <xdr:cNvSpPr/>
      </xdr:nvSpPr>
      <xdr:spPr>
        <a:xfrm>
          <a:off x="13323794" y="1535207"/>
          <a:ext cx="530352" cy="366656"/>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1</xdr:col>
      <xdr:colOff>0</xdr:colOff>
      <xdr:row>8</xdr:row>
      <xdr:rowOff>195976</xdr:rowOff>
    </xdr:from>
    <xdr:to>
      <xdr:col>8</xdr:col>
      <xdr:colOff>516</xdr:colOff>
      <xdr:row>11</xdr:row>
      <xdr:rowOff>0</xdr:rowOff>
    </xdr:to>
    <xdr:grpSp>
      <xdr:nvGrpSpPr>
        <xdr:cNvPr id="5" name="Steps">
          <a:extLst>
            <a:ext uri="{FF2B5EF4-FFF2-40B4-BE49-F238E27FC236}">
              <a16:creationId xmlns:a16="http://schemas.microsoft.com/office/drawing/2014/main" id="{00000000-0008-0000-3500-000005000000}"/>
            </a:ext>
          </a:extLst>
        </xdr:cNvPr>
        <xdr:cNvGrpSpPr/>
      </xdr:nvGrpSpPr>
      <xdr:grpSpPr>
        <a:xfrm>
          <a:off x="313765" y="1809623"/>
          <a:ext cx="2196869" cy="409142"/>
          <a:chOff x="12950646" y="408960"/>
          <a:chExt cx="2095287" cy="342919"/>
        </a:xfrm>
      </xdr:grpSpPr>
      <xdr:sp macro="" textlink="">
        <xdr:nvSpPr>
          <xdr:cNvPr id="6" name="Step 1">
            <a:hlinkClick xmlns:r="http://schemas.openxmlformats.org/officeDocument/2006/relationships" r:id="rId4" tooltip="Lighting Schedule"/>
            <a:extLst>
              <a:ext uri="{FF2B5EF4-FFF2-40B4-BE49-F238E27FC236}">
                <a16:creationId xmlns:a16="http://schemas.microsoft.com/office/drawing/2014/main" id="{00000000-0008-0000-3500-000006000000}"/>
              </a:ext>
            </a:extLst>
          </xdr:cNvPr>
          <xdr:cNvSpPr/>
        </xdr:nvSpPr>
        <xdr:spPr>
          <a:xfrm>
            <a:off x="12950646" y="408960"/>
            <a:ext cx="2095287" cy="173289"/>
          </a:xfrm>
          <a:prstGeom prst="rect">
            <a:avLst/>
          </a:prstGeom>
          <a:solidFill>
            <a:schemeClr val="bg1">
              <a:lumMod val="95000"/>
            </a:schemeClr>
          </a:solidFill>
          <a:ln>
            <a:solidFill>
              <a:schemeClr val="bg1">
                <a:lumMod val="85000"/>
              </a:schemeClr>
            </a:solidFill>
          </a:ln>
          <a:scene3d>
            <a:camera prst="orthographicFront"/>
            <a:lightRig rig="threePt" dir="t"/>
          </a:scene3d>
          <a:sp3d>
            <a:bevelB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rgbClr val="7F7F7F"/>
                </a:solidFill>
                <a:latin typeface="Arial" panose="020B0604020202020204" pitchFamily="34" charset="0"/>
                <a:cs typeface="Arial" panose="020B0604020202020204" pitchFamily="34" charset="0"/>
              </a:rPr>
              <a:t>Step 1:</a:t>
            </a:r>
            <a:r>
              <a:rPr lang="en-US" sz="1100" b="0" baseline="0">
                <a:solidFill>
                  <a:srgbClr val="7F7F7F"/>
                </a:solidFill>
                <a:latin typeface="Arial" panose="020B0604020202020204" pitchFamily="34" charset="0"/>
                <a:cs typeface="Arial" panose="020B0604020202020204" pitchFamily="34" charset="0"/>
              </a:rPr>
              <a:t> Lighting Schedule</a:t>
            </a:r>
          </a:p>
        </xdr:txBody>
      </xdr:sp>
      <xdr:sp macro="" textlink="">
        <xdr:nvSpPr>
          <xdr:cNvPr id="7" name="Step 2">
            <a:hlinkClick xmlns:r="http://schemas.openxmlformats.org/officeDocument/2006/relationships" r:id="rId3" tooltip="Measure Completion"/>
            <a:extLst>
              <a:ext uri="{FF2B5EF4-FFF2-40B4-BE49-F238E27FC236}">
                <a16:creationId xmlns:a16="http://schemas.microsoft.com/office/drawing/2014/main" id="{00000000-0008-0000-3500-000007000000}"/>
              </a:ext>
            </a:extLst>
          </xdr:cNvPr>
          <xdr:cNvSpPr/>
        </xdr:nvSpPr>
        <xdr:spPr>
          <a:xfrm>
            <a:off x="12950648" y="582249"/>
            <a:ext cx="2095283" cy="169630"/>
          </a:xfrm>
          <a:prstGeom prst="rect">
            <a:avLst/>
          </a:prstGeom>
          <a:solidFill>
            <a:srgbClr val="317CC0"/>
          </a:solidFill>
          <a:ln>
            <a:solidFill>
              <a:srgbClr val="317CC0"/>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FF"/>
                </a:solidFill>
                <a:latin typeface="Arial" panose="020B0604020202020204" pitchFamily="34" charset="0"/>
                <a:cs typeface="Arial" panose="020B0604020202020204" pitchFamily="34" charset="0"/>
              </a:rPr>
              <a:t>Step 2:</a:t>
            </a:r>
            <a:r>
              <a:rPr lang="en-US" sz="1100" b="1" baseline="0">
                <a:solidFill>
                  <a:srgbClr val="FFFFFF"/>
                </a:solidFill>
                <a:latin typeface="Arial" panose="020B0604020202020204" pitchFamily="34" charset="0"/>
                <a:cs typeface="Arial" panose="020B0604020202020204" pitchFamily="34" charset="0"/>
              </a:rPr>
              <a:t> Measure Input</a:t>
            </a:r>
          </a:p>
        </xdr:txBody>
      </xdr:sp>
    </xdr:grpSp>
    <xdr:clientData/>
  </xdr:twoCellAnchor>
  <xdr:twoCellAnchor editAs="oneCell">
    <xdr:from>
      <xdr:col>6</xdr:col>
      <xdr:colOff>0</xdr:colOff>
      <xdr:row>3</xdr:row>
      <xdr:rowOff>815</xdr:rowOff>
    </xdr:from>
    <xdr:to>
      <xdr:col>41</xdr:col>
      <xdr:colOff>223215</xdr:colOff>
      <xdr:row>8</xdr:row>
      <xdr:rowOff>0</xdr:rowOff>
    </xdr:to>
    <xdr:grpSp>
      <xdr:nvGrpSpPr>
        <xdr:cNvPr id="23" name="Navigation">
          <a:extLst>
            <a:ext uri="{FF2B5EF4-FFF2-40B4-BE49-F238E27FC236}">
              <a16:creationId xmlns:a16="http://schemas.microsoft.com/office/drawing/2014/main" id="{00000000-0008-0000-3500-000017000000}"/>
            </a:ext>
          </a:extLst>
        </xdr:cNvPr>
        <xdr:cNvGrpSpPr/>
      </xdr:nvGrpSpPr>
      <xdr:grpSpPr>
        <a:xfrm>
          <a:off x="1882588" y="605933"/>
          <a:ext cx="11204980" cy="1007714"/>
          <a:chOff x="1576553" y="592282"/>
          <a:chExt cx="11373937" cy="986117"/>
        </a:xfrm>
      </xdr:grpSpPr>
      <xdr:cxnSp macro="">
        <xdr:nvCxnSpPr>
          <xdr:cNvPr id="24" name="Reference">
            <a:extLst>
              <a:ext uri="{FF2B5EF4-FFF2-40B4-BE49-F238E27FC236}">
                <a16:creationId xmlns:a16="http://schemas.microsoft.com/office/drawing/2014/main" id="{00000000-0008-0000-3500-000018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25" name="7: Project Review">
            <a:hlinkClick xmlns:r="http://schemas.openxmlformats.org/officeDocument/2006/relationships" r:id="rId5" tooltip="Project Review"/>
            <a:extLst>
              <a:ext uri="{FF2B5EF4-FFF2-40B4-BE49-F238E27FC236}">
                <a16:creationId xmlns:a16="http://schemas.microsoft.com/office/drawing/2014/main" id="{00000000-0008-0000-3500-000019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26" name="6: Payment">
            <a:hlinkClick xmlns:r="http://schemas.openxmlformats.org/officeDocument/2006/relationships" r:id="rId6" tooltip="Payment"/>
            <a:extLst>
              <a:ext uri="{FF2B5EF4-FFF2-40B4-BE49-F238E27FC236}">
                <a16:creationId xmlns:a16="http://schemas.microsoft.com/office/drawing/2014/main" id="{00000000-0008-0000-3500-00001A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28" name="5: Equipment Input">
            <a:hlinkClick xmlns:r="http://schemas.openxmlformats.org/officeDocument/2006/relationships" r:id="rId7" tooltip="Equipment Input"/>
            <a:extLst>
              <a:ext uri="{FF2B5EF4-FFF2-40B4-BE49-F238E27FC236}">
                <a16:creationId xmlns:a16="http://schemas.microsoft.com/office/drawing/2014/main" id="{00000000-0008-0000-3500-00001C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29" name="4: DTM">
            <a:hlinkClick xmlns:r="http://schemas.openxmlformats.org/officeDocument/2006/relationships" r:id="rId8" tooltip="Building Information"/>
            <a:extLst>
              <a:ext uri="{FF2B5EF4-FFF2-40B4-BE49-F238E27FC236}">
                <a16:creationId xmlns:a16="http://schemas.microsoft.com/office/drawing/2014/main" id="{00000000-0008-0000-3500-00001D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30" name="3: Customer/Bldg Info">
            <a:hlinkClick xmlns:r="http://schemas.openxmlformats.org/officeDocument/2006/relationships" r:id="rId9" tooltip="Customer Information"/>
            <a:extLst>
              <a:ext uri="{FF2B5EF4-FFF2-40B4-BE49-F238E27FC236}">
                <a16:creationId xmlns:a16="http://schemas.microsoft.com/office/drawing/2014/main" id="{00000000-0008-0000-3500-00001E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31" name="2: Design Team">
            <a:hlinkClick xmlns:r="http://schemas.openxmlformats.org/officeDocument/2006/relationships" r:id="rId10" tooltip="Trade Ally/Vendor Information"/>
            <a:extLst>
              <a:ext uri="{FF2B5EF4-FFF2-40B4-BE49-F238E27FC236}">
                <a16:creationId xmlns:a16="http://schemas.microsoft.com/office/drawing/2014/main" id="{00000000-0008-0000-3500-00001F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32" name="1: T&amp;C's">
            <a:hlinkClick xmlns:r="http://schemas.openxmlformats.org/officeDocument/2006/relationships" r:id="rId11" tooltip="Terms &amp; Conditions"/>
            <a:extLst>
              <a:ext uri="{FF2B5EF4-FFF2-40B4-BE49-F238E27FC236}">
                <a16:creationId xmlns:a16="http://schemas.microsoft.com/office/drawing/2014/main" id="{00000000-0008-0000-3500-000020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3" name="Header">
          <a:extLst>
            <a:ext uri="{FF2B5EF4-FFF2-40B4-BE49-F238E27FC236}">
              <a16:creationId xmlns:a16="http://schemas.microsoft.com/office/drawing/2014/main" id="{00000000-0008-0000-3500-000003000000}"/>
            </a:ext>
          </a:extLst>
        </xdr:cNvPr>
        <xdr:cNvGrpSpPr/>
      </xdr:nvGrpSpPr>
      <xdr:grpSpPr>
        <a:xfrm>
          <a:off x="0" y="0"/>
          <a:ext cx="15374471" cy="605118"/>
          <a:chOff x="0" y="0"/>
          <a:chExt cx="15822705" cy="591825"/>
        </a:xfrm>
      </xdr:grpSpPr>
      <xdr:grpSp>
        <xdr:nvGrpSpPr>
          <xdr:cNvPr id="4" name="Header">
            <a:extLst>
              <a:ext uri="{FF2B5EF4-FFF2-40B4-BE49-F238E27FC236}">
                <a16:creationId xmlns:a16="http://schemas.microsoft.com/office/drawing/2014/main" id="{00000000-0008-0000-3500-000004000000}"/>
              </a:ext>
            </a:extLst>
          </xdr:cNvPr>
          <xdr:cNvGrpSpPr/>
        </xdr:nvGrpSpPr>
        <xdr:grpSpPr>
          <a:xfrm>
            <a:off x="0" y="0"/>
            <a:ext cx="15822705" cy="591825"/>
            <a:chOff x="0" y="0"/>
            <a:chExt cx="15822705" cy="591825"/>
          </a:xfrm>
        </xdr:grpSpPr>
        <xdr:sp macro="" textlink="">
          <xdr:nvSpPr>
            <xdr:cNvPr id="14" name="Reference">
              <a:extLst>
                <a:ext uri="{FF2B5EF4-FFF2-40B4-BE49-F238E27FC236}">
                  <a16:creationId xmlns:a16="http://schemas.microsoft.com/office/drawing/2014/main" id="{00000000-0008-0000-3500-00000E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Contact">
              <a:hlinkClick xmlns:r="http://schemas.openxmlformats.org/officeDocument/2006/relationships" r:id="rId12" tooltip="Contact"/>
              <a:extLst>
                <a:ext uri="{FF2B5EF4-FFF2-40B4-BE49-F238E27FC236}">
                  <a16:creationId xmlns:a16="http://schemas.microsoft.com/office/drawing/2014/main" id="{00000000-0008-0000-3500-00000F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Completion">
              <a:hlinkClick xmlns:r="http://schemas.openxmlformats.org/officeDocument/2006/relationships" r:id="rId13" tooltip=" "/>
              <a:extLst>
                <a:ext uri="{FF2B5EF4-FFF2-40B4-BE49-F238E27FC236}">
                  <a16:creationId xmlns:a16="http://schemas.microsoft.com/office/drawing/2014/main" id="{00000000-0008-0000-3500-000010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Offer">
              <a:hlinkClick xmlns:r="http://schemas.openxmlformats.org/officeDocument/2006/relationships" r:id="rId14" tooltip=" "/>
              <a:extLst>
                <a:ext uri="{FF2B5EF4-FFF2-40B4-BE49-F238E27FC236}">
                  <a16:creationId xmlns:a16="http://schemas.microsoft.com/office/drawing/2014/main" id="{00000000-0008-0000-3500-000011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Instructions">
              <a:hlinkClick xmlns:r="http://schemas.openxmlformats.org/officeDocument/2006/relationships" r:id="rId15" tooltip="Instructions"/>
              <a:extLst>
                <a:ext uri="{FF2B5EF4-FFF2-40B4-BE49-F238E27FC236}">
                  <a16:creationId xmlns:a16="http://schemas.microsoft.com/office/drawing/2014/main" id="{00000000-0008-0000-3500-000012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Welcome">
              <a:hlinkClick xmlns:r="http://schemas.openxmlformats.org/officeDocument/2006/relationships" r:id="rId16" tooltip="Welcome"/>
              <a:extLst>
                <a:ext uri="{FF2B5EF4-FFF2-40B4-BE49-F238E27FC236}">
                  <a16:creationId xmlns:a16="http://schemas.microsoft.com/office/drawing/2014/main" id="{00000000-0008-0000-3500-000013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0" name="Evergy Logo">
              <a:extLst>
                <a:ext uri="{FF2B5EF4-FFF2-40B4-BE49-F238E27FC236}">
                  <a16:creationId xmlns:a16="http://schemas.microsoft.com/office/drawing/2014/main" id="{00000000-0008-0000-3500-00001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8" name="Dividers">
            <a:extLst>
              <a:ext uri="{FF2B5EF4-FFF2-40B4-BE49-F238E27FC236}">
                <a16:creationId xmlns:a16="http://schemas.microsoft.com/office/drawing/2014/main" id="{00000000-0008-0000-3500-000008000000}"/>
              </a:ext>
            </a:extLst>
          </xdr:cNvPr>
          <xdr:cNvGrpSpPr/>
        </xdr:nvGrpSpPr>
        <xdr:grpSpPr>
          <a:xfrm>
            <a:off x="1615312" y="85571"/>
            <a:ext cx="12926000" cy="423176"/>
            <a:chOff x="1615312" y="85571"/>
            <a:chExt cx="12926000" cy="423176"/>
          </a:xfrm>
        </xdr:grpSpPr>
        <xdr:cxnSp macro="">
          <xdr:nvCxnSpPr>
            <xdr:cNvPr id="9" name="Divider 4">
              <a:extLst>
                <a:ext uri="{FF2B5EF4-FFF2-40B4-BE49-F238E27FC236}">
                  <a16:creationId xmlns:a16="http://schemas.microsoft.com/office/drawing/2014/main" id="{00000000-0008-0000-3500-000009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3500-00000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3500-00000B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3500-00000C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8</xdr:row>
      <xdr:rowOff>197223</xdr:rowOff>
    </xdr:from>
    <xdr:ext cx="2259106" cy="394448"/>
    <xdr:grpSp>
      <xdr:nvGrpSpPr>
        <xdr:cNvPr id="13" name="Steps">
          <a:extLst>
            <a:ext uri="{FF2B5EF4-FFF2-40B4-BE49-F238E27FC236}">
              <a16:creationId xmlns:a16="http://schemas.microsoft.com/office/drawing/2014/main" id="{00000000-0008-0000-3600-00000D000000}"/>
            </a:ext>
          </a:extLst>
        </xdr:cNvPr>
        <xdr:cNvGrpSpPr/>
      </xdr:nvGrpSpPr>
      <xdr:grpSpPr>
        <a:xfrm>
          <a:off x="313765" y="1810870"/>
          <a:ext cx="2259106" cy="394448"/>
          <a:chOff x="583291" y="1825490"/>
          <a:chExt cx="2196892" cy="403080"/>
        </a:xfrm>
      </xdr:grpSpPr>
      <xdr:sp macro="" textlink="">
        <xdr:nvSpPr>
          <xdr:cNvPr id="12" name="Step 2">
            <a:hlinkClick xmlns:r="http://schemas.openxmlformats.org/officeDocument/2006/relationships" r:id="rId1" tooltip="Measure Completion"/>
            <a:extLst>
              <a:ext uri="{FF2B5EF4-FFF2-40B4-BE49-F238E27FC236}">
                <a16:creationId xmlns:a16="http://schemas.microsoft.com/office/drawing/2014/main" id="{00000000-0008-0000-3600-00000C000000}"/>
              </a:ext>
            </a:extLst>
          </xdr:cNvPr>
          <xdr:cNvSpPr/>
        </xdr:nvSpPr>
        <xdr:spPr>
          <a:xfrm>
            <a:off x="583291" y="2027028"/>
            <a:ext cx="2196892" cy="201542"/>
          </a:xfrm>
          <a:prstGeom prst="rect">
            <a:avLst/>
          </a:prstGeom>
          <a:solidFill>
            <a:schemeClr val="bg1">
              <a:lumMod val="95000"/>
            </a:schemeClr>
          </a:solidFill>
          <a:ln>
            <a:solidFill>
              <a:schemeClr val="bg1">
                <a:lumMod val="85000"/>
              </a:schemeClr>
            </a:solidFill>
          </a:ln>
          <a:scene3d>
            <a:camera prst="orthographicFront"/>
            <a:lightRig rig="threePt" dir="t"/>
          </a:scene3d>
          <a:sp3d>
            <a:bevelB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Step 2: Measure Input</a:t>
            </a:r>
          </a:p>
        </xdr:txBody>
      </xdr:sp>
      <xdr:sp macro="" textlink="">
        <xdr:nvSpPr>
          <xdr:cNvPr id="11" name="Step 1">
            <a:hlinkClick xmlns:r="http://schemas.openxmlformats.org/officeDocument/2006/relationships" r:id="rId2" tooltip="Lighting Schedule"/>
            <a:extLst>
              <a:ext uri="{FF2B5EF4-FFF2-40B4-BE49-F238E27FC236}">
                <a16:creationId xmlns:a16="http://schemas.microsoft.com/office/drawing/2014/main" id="{00000000-0008-0000-3600-00000B000000}"/>
              </a:ext>
            </a:extLst>
          </xdr:cNvPr>
          <xdr:cNvSpPr/>
        </xdr:nvSpPr>
        <xdr:spPr>
          <a:xfrm>
            <a:off x="583291" y="1825490"/>
            <a:ext cx="2196892" cy="201538"/>
          </a:xfrm>
          <a:prstGeom prst="rect">
            <a:avLst/>
          </a:prstGeom>
          <a:solidFill>
            <a:srgbClr val="317CC0"/>
          </a:solidFill>
          <a:ln>
            <a:solidFill>
              <a:srgbClr val="317CC0"/>
            </a:solidFill>
          </a:ln>
          <a:scene3d>
            <a:camera prst="orthographicFront"/>
            <a:lightRig rig="threePt" dir="t"/>
          </a:scene3d>
          <a:sp3d>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rgbClr val="FFFFFF"/>
                </a:solidFill>
                <a:latin typeface="Arial" panose="020B0604020202020204" pitchFamily="34" charset="0"/>
                <a:ea typeface="+mn-ea"/>
                <a:cs typeface="Arial" panose="020B0604020202020204" pitchFamily="34" charset="0"/>
              </a:rPr>
              <a:t>Step 1: Lighting Schedule</a:t>
            </a:r>
          </a:p>
        </xdr:txBody>
      </xdr:sp>
    </xdr:grpSp>
    <xdr:clientData/>
  </xdr:oneCellAnchor>
  <xdr:oneCellAnchor>
    <xdr:from>
      <xdr:col>6</xdr:col>
      <xdr:colOff>0</xdr:colOff>
      <xdr:row>3</xdr:row>
      <xdr:rowOff>0</xdr:rowOff>
    </xdr:from>
    <xdr:ext cx="11518745" cy="985302"/>
    <xdr:grpSp>
      <xdr:nvGrpSpPr>
        <xdr:cNvPr id="2" name="Navigation">
          <a:extLst>
            <a:ext uri="{FF2B5EF4-FFF2-40B4-BE49-F238E27FC236}">
              <a16:creationId xmlns:a16="http://schemas.microsoft.com/office/drawing/2014/main" id="{00000000-0008-0000-3600-000002000000}"/>
            </a:ext>
          </a:extLst>
        </xdr:cNvPr>
        <xdr:cNvGrpSpPr/>
      </xdr:nvGrpSpPr>
      <xdr:grpSpPr>
        <a:xfrm>
          <a:off x="1882588" y="605118"/>
          <a:ext cx="11518745" cy="985302"/>
          <a:chOff x="1576553" y="592282"/>
          <a:chExt cx="11373937" cy="986117"/>
        </a:xfrm>
      </xdr:grpSpPr>
      <xdr:cxnSp macro="">
        <xdr:nvCxnSpPr>
          <xdr:cNvPr id="3" name="Reference">
            <a:extLst>
              <a:ext uri="{FF2B5EF4-FFF2-40B4-BE49-F238E27FC236}">
                <a16:creationId xmlns:a16="http://schemas.microsoft.com/office/drawing/2014/main" id="{00000000-0008-0000-3600-000003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4" name="7: Project Review">
            <a:hlinkClick xmlns:r="http://schemas.openxmlformats.org/officeDocument/2006/relationships" r:id="rId3" tooltip="Project Review"/>
            <a:extLst>
              <a:ext uri="{FF2B5EF4-FFF2-40B4-BE49-F238E27FC236}">
                <a16:creationId xmlns:a16="http://schemas.microsoft.com/office/drawing/2014/main" id="{00000000-0008-0000-3600-000004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5" name="6: Payment">
            <a:hlinkClick xmlns:r="http://schemas.openxmlformats.org/officeDocument/2006/relationships" r:id="rId4" tooltip="Payment"/>
            <a:extLst>
              <a:ext uri="{FF2B5EF4-FFF2-40B4-BE49-F238E27FC236}">
                <a16:creationId xmlns:a16="http://schemas.microsoft.com/office/drawing/2014/main" id="{00000000-0008-0000-3600-000005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6" name="5: Equipment Input">
            <a:hlinkClick xmlns:r="http://schemas.openxmlformats.org/officeDocument/2006/relationships" r:id="rId5" tooltip="Equipment Input"/>
            <a:extLst>
              <a:ext uri="{FF2B5EF4-FFF2-40B4-BE49-F238E27FC236}">
                <a16:creationId xmlns:a16="http://schemas.microsoft.com/office/drawing/2014/main" id="{00000000-0008-0000-3600-000006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7" name="4: DTM">
            <a:hlinkClick xmlns:r="http://schemas.openxmlformats.org/officeDocument/2006/relationships" r:id="rId6" tooltip="Building Information"/>
            <a:extLst>
              <a:ext uri="{FF2B5EF4-FFF2-40B4-BE49-F238E27FC236}">
                <a16:creationId xmlns:a16="http://schemas.microsoft.com/office/drawing/2014/main" id="{00000000-0008-0000-3600-000007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8" name="3: Customer/Bldg Info">
            <a:hlinkClick xmlns:r="http://schemas.openxmlformats.org/officeDocument/2006/relationships" r:id="rId7" tooltip="Customer Information"/>
            <a:extLst>
              <a:ext uri="{FF2B5EF4-FFF2-40B4-BE49-F238E27FC236}">
                <a16:creationId xmlns:a16="http://schemas.microsoft.com/office/drawing/2014/main" id="{00000000-0008-0000-3600-000008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9" name="2: Design Team">
            <a:hlinkClick xmlns:r="http://schemas.openxmlformats.org/officeDocument/2006/relationships" r:id="rId8" tooltip="Trade Ally/Vendor Information"/>
            <a:extLst>
              <a:ext uri="{FF2B5EF4-FFF2-40B4-BE49-F238E27FC236}">
                <a16:creationId xmlns:a16="http://schemas.microsoft.com/office/drawing/2014/main" id="{00000000-0008-0000-3600-000009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20" name="1: T&amp;C's">
            <a:hlinkClick xmlns:r="http://schemas.openxmlformats.org/officeDocument/2006/relationships" r:id="rId9" tooltip="Terms &amp; Conditions"/>
            <a:extLst>
              <a:ext uri="{FF2B5EF4-FFF2-40B4-BE49-F238E27FC236}">
                <a16:creationId xmlns:a16="http://schemas.microsoft.com/office/drawing/2014/main" id="{00000000-0008-0000-3600-000014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oneCellAnchor>
  <xdr:twoCellAnchor editAs="oneCell">
    <xdr:from>
      <xdr:col>0</xdr:col>
      <xdr:colOff>0</xdr:colOff>
      <xdr:row>0</xdr:row>
      <xdr:rowOff>0</xdr:rowOff>
    </xdr:from>
    <xdr:to>
      <xdr:col>49</xdr:col>
      <xdr:colOff>0</xdr:colOff>
      <xdr:row>3</xdr:row>
      <xdr:rowOff>0</xdr:rowOff>
    </xdr:to>
    <xdr:grpSp>
      <xdr:nvGrpSpPr>
        <xdr:cNvPr id="28" name="Header">
          <a:extLst>
            <a:ext uri="{FF2B5EF4-FFF2-40B4-BE49-F238E27FC236}">
              <a16:creationId xmlns:a16="http://schemas.microsoft.com/office/drawing/2014/main" id="{00000000-0008-0000-3600-00001C000000}"/>
            </a:ext>
          </a:extLst>
        </xdr:cNvPr>
        <xdr:cNvGrpSpPr/>
      </xdr:nvGrpSpPr>
      <xdr:grpSpPr>
        <a:xfrm>
          <a:off x="0" y="0"/>
          <a:ext cx="15374471" cy="605118"/>
          <a:chOff x="0" y="0"/>
          <a:chExt cx="15822705" cy="591825"/>
        </a:xfrm>
      </xdr:grpSpPr>
      <xdr:grpSp>
        <xdr:nvGrpSpPr>
          <xdr:cNvPr id="29" name="Header">
            <a:extLst>
              <a:ext uri="{FF2B5EF4-FFF2-40B4-BE49-F238E27FC236}">
                <a16:creationId xmlns:a16="http://schemas.microsoft.com/office/drawing/2014/main" id="{00000000-0008-0000-3600-00001D000000}"/>
              </a:ext>
            </a:extLst>
          </xdr:cNvPr>
          <xdr:cNvGrpSpPr/>
        </xdr:nvGrpSpPr>
        <xdr:grpSpPr>
          <a:xfrm>
            <a:off x="0" y="0"/>
            <a:ext cx="15822705" cy="591825"/>
            <a:chOff x="0" y="0"/>
            <a:chExt cx="15822705" cy="591825"/>
          </a:xfrm>
        </xdr:grpSpPr>
        <xdr:sp macro="" textlink="">
          <xdr:nvSpPr>
            <xdr:cNvPr id="35" name="Reference">
              <a:extLst>
                <a:ext uri="{FF2B5EF4-FFF2-40B4-BE49-F238E27FC236}">
                  <a16:creationId xmlns:a16="http://schemas.microsoft.com/office/drawing/2014/main" id="{00000000-0008-0000-3600-000023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ntact">
              <a:hlinkClick xmlns:r="http://schemas.openxmlformats.org/officeDocument/2006/relationships" r:id="rId10" tooltip="Contact"/>
              <a:extLst>
                <a:ext uri="{FF2B5EF4-FFF2-40B4-BE49-F238E27FC236}">
                  <a16:creationId xmlns:a16="http://schemas.microsoft.com/office/drawing/2014/main" id="{00000000-0008-0000-3600-000024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mpletion">
              <a:hlinkClick xmlns:r="http://schemas.openxmlformats.org/officeDocument/2006/relationships" r:id="rId11" tooltip=" "/>
              <a:extLst>
                <a:ext uri="{FF2B5EF4-FFF2-40B4-BE49-F238E27FC236}">
                  <a16:creationId xmlns:a16="http://schemas.microsoft.com/office/drawing/2014/main" id="{00000000-0008-0000-3600-000025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a:hlinkClick xmlns:r="http://schemas.openxmlformats.org/officeDocument/2006/relationships" r:id="rId12" tooltip=" "/>
              <a:extLst>
                <a:ext uri="{FF2B5EF4-FFF2-40B4-BE49-F238E27FC236}">
                  <a16:creationId xmlns:a16="http://schemas.microsoft.com/office/drawing/2014/main" id="{00000000-0008-0000-3600-000034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nstructions">
              <a:hlinkClick xmlns:r="http://schemas.openxmlformats.org/officeDocument/2006/relationships" r:id="rId13" tooltip="Instructions"/>
              <a:extLst>
                <a:ext uri="{FF2B5EF4-FFF2-40B4-BE49-F238E27FC236}">
                  <a16:creationId xmlns:a16="http://schemas.microsoft.com/office/drawing/2014/main" id="{00000000-0008-0000-3600-000035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elcome">
              <a:hlinkClick xmlns:r="http://schemas.openxmlformats.org/officeDocument/2006/relationships" r:id="rId14" tooltip="Welcome"/>
              <a:extLst>
                <a:ext uri="{FF2B5EF4-FFF2-40B4-BE49-F238E27FC236}">
                  <a16:creationId xmlns:a16="http://schemas.microsoft.com/office/drawing/2014/main" id="{00000000-0008-0000-3600-000036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5" name="Evergy Logo">
              <a:extLst>
                <a:ext uri="{FF2B5EF4-FFF2-40B4-BE49-F238E27FC236}">
                  <a16:creationId xmlns:a16="http://schemas.microsoft.com/office/drawing/2014/main" id="{00000000-0008-0000-3600-00003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30" name="Dividers">
            <a:extLst>
              <a:ext uri="{FF2B5EF4-FFF2-40B4-BE49-F238E27FC236}">
                <a16:creationId xmlns:a16="http://schemas.microsoft.com/office/drawing/2014/main" id="{00000000-0008-0000-3600-00001E000000}"/>
              </a:ext>
            </a:extLst>
          </xdr:cNvPr>
          <xdr:cNvGrpSpPr/>
        </xdr:nvGrpSpPr>
        <xdr:grpSpPr>
          <a:xfrm>
            <a:off x="1615312" y="85571"/>
            <a:ext cx="12926000" cy="423176"/>
            <a:chOff x="1615312" y="85571"/>
            <a:chExt cx="12926000" cy="423176"/>
          </a:xfrm>
        </xdr:grpSpPr>
        <xdr:cxnSp macro="">
          <xdr:nvCxnSpPr>
            <xdr:cNvPr id="31" name="Divider 4">
              <a:extLst>
                <a:ext uri="{FF2B5EF4-FFF2-40B4-BE49-F238E27FC236}">
                  <a16:creationId xmlns:a16="http://schemas.microsoft.com/office/drawing/2014/main" id="{00000000-0008-0000-3600-00001F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36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3600-000021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3600-000022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42</xdr:col>
      <xdr:colOff>145676</xdr:colOff>
      <xdr:row>8</xdr:row>
      <xdr:rowOff>100854</xdr:rowOff>
    </xdr:from>
    <xdr:to>
      <xdr:col>44</xdr:col>
      <xdr:colOff>48499</xdr:colOff>
      <xdr:row>10</xdr:row>
      <xdr:rowOff>108922</xdr:rowOff>
    </xdr:to>
    <xdr:sp macro="" textlink="">
      <xdr:nvSpPr>
        <xdr:cNvPr id="39" name="Arrow: Right N3S3-2b">
          <a:hlinkClick xmlns:r="http://schemas.openxmlformats.org/officeDocument/2006/relationships" r:id="rId1" tooltip="Forward: Interior Lighting: Step 2 - Measure Input"/>
          <a:extLst>
            <a:ext uri="{FF2B5EF4-FFF2-40B4-BE49-F238E27FC236}">
              <a16:creationId xmlns:a16="http://schemas.microsoft.com/office/drawing/2014/main" id="{00000000-0008-0000-3700-000027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0</xdr:col>
      <xdr:colOff>322213</xdr:colOff>
      <xdr:row>8</xdr:row>
      <xdr:rowOff>195976</xdr:rowOff>
    </xdr:from>
    <xdr:to>
      <xdr:col>8</xdr:col>
      <xdr:colOff>0</xdr:colOff>
      <xdr:row>11</xdr:row>
      <xdr:rowOff>0</xdr:rowOff>
    </xdr:to>
    <xdr:grpSp>
      <xdr:nvGrpSpPr>
        <xdr:cNvPr id="11" name="Steps">
          <a:extLst>
            <a:ext uri="{FF2B5EF4-FFF2-40B4-BE49-F238E27FC236}">
              <a16:creationId xmlns:a16="http://schemas.microsoft.com/office/drawing/2014/main" id="{00000000-0008-0000-3700-00000B000000}"/>
            </a:ext>
          </a:extLst>
        </xdr:cNvPr>
        <xdr:cNvGrpSpPr/>
      </xdr:nvGrpSpPr>
      <xdr:grpSpPr>
        <a:xfrm>
          <a:off x="312688" y="1809623"/>
          <a:ext cx="2197430" cy="409142"/>
          <a:chOff x="12950646" y="408960"/>
          <a:chExt cx="2095287" cy="342919"/>
        </a:xfrm>
      </xdr:grpSpPr>
      <xdr:sp macro="" textlink="">
        <xdr:nvSpPr>
          <xdr:cNvPr id="12" name="Step 1">
            <a:hlinkClick xmlns:r="http://schemas.openxmlformats.org/officeDocument/2006/relationships" r:id="rId2" tooltip="Lighting Schedule"/>
            <a:extLst>
              <a:ext uri="{FF2B5EF4-FFF2-40B4-BE49-F238E27FC236}">
                <a16:creationId xmlns:a16="http://schemas.microsoft.com/office/drawing/2014/main" id="{00000000-0008-0000-3700-00000C000000}"/>
              </a:ext>
            </a:extLst>
          </xdr:cNvPr>
          <xdr:cNvSpPr/>
        </xdr:nvSpPr>
        <xdr:spPr>
          <a:xfrm>
            <a:off x="12950646" y="408960"/>
            <a:ext cx="2095287" cy="173289"/>
          </a:xfrm>
          <a:prstGeom prst="rect">
            <a:avLst/>
          </a:prstGeom>
          <a:solidFill>
            <a:schemeClr val="bg1">
              <a:lumMod val="95000"/>
            </a:schemeClr>
          </a:solidFill>
          <a:ln>
            <a:solidFill>
              <a:schemeClr val="bg1">
                <a:lumMod val="85000"/>
              </a:schemeClr>
            </a:solidFill>
          </a:ln>
          <a:scene3d>
            <a:camera prst="orthographicFront"/>
            <a:lightRig rig="threePt" dir="t"/>
          </a:scene3d>
          <a:sp3d>
            <a:bevelB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rgbClr val="7F7F7F"/>
                </a:solidFill>
                <a:latin typeface="Arial" panose="020B0604020202020204" pitchFamily="34" charset="0"/>
                <a:cs typeface="Arial" panose="020B0604020202020204" pitchFamily="34" charset="0"/>
              </a:rPr>
              <a:t>Step 1:</a:t>
            </a:r>
            <a:r>
              <a:rPr lang="en-US" sz="1100" b="0" baseline="0">
                <a:solidFill>
                  <a:srgbClr val="7F7F7F"/>
                </a:solidFill>
                <a:latin typeface="Arial" panose="020B0604020202020204" pitchFamily="34" charset="0"/>
                <a:cs typeface="Arial" panose="020B0604020202020204" pitchFamily="34" charset="0"/>
              </a:rPr>
              <a:t> Lighting Schedule</a:t>
            </a:r>
          </a:p>
        </xdr:txBody>
      </xdr:sp>
      <xdr:sp macro="" textlink="">
        <xdr:nvSpPr>
          <xdr:cNvPr id="13" name="Step 2">
            <a:hlinkClick xmlns:r="http://schemas.openxmlformats.org/officeDocument/2006/relationships" r:id="rId1" tooltip="Measure Completion"/>
            <a:extLst>
              <a:ext uri="{FF2B5EF4-FFF2-40B4-BE49-F238E27FC236}">
                <a16:creationId xmlns:a16="http://schemas.microsoft.com/office/drawing/2014/main" id="{00000000-0008-0000-3700-00000D000000}"/>
              </a:ext>
            </a:extLst>
          </xdr:cNvPr>
          <xdr:cNvSpPr/>
        </xdr:nvSpPr>
        <xdr:spPr>
          <a:xfrm>
            <a:off x="12950648" y="582249"/>
            <a:ext cx="2095283" cy="169630"/>
          </a:xfrm>
          <a:prstGeom prst="rect">
            <a:avLst/>
          </a:prstGeom>
          <a:solidFill>
            <a:srgbClr val="317CC0"/>
          </a:solidFill>
          <a:ln>
            <a:solidFill>
              <a:srgbClr val="317CC0"/>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FF"/>
                </a:solidFill>
                <a:latin typeface="Arial" panose="020B0604020202020204" pitchFamily="34" charset="0"/>
                <a:cs typeface="Arial" panose="020B0604020202020204" pitchFamily="34" charset="0"/>
              </a:rPr>
              <a:t>Step 2:</a:t>
            </a:r>
            <a:r>
              <a:rPr lang="en-US" sz="1100" b="1" baseline="0">
                <a:solidFill>
                  <a:srgbClr val="FFFFFF"/>
                </a:solidFill>
                <a:latin typeface="Arial" panose="020B0604020202020204" pitchFamily="34" charset="0"/>
                <a:cs typeface="Arial" panose="020B0604020202020204" pitchFamily="34" charset="0"/>
              </a:rPr>
              <a:t> Measure Input</a:t>
            </a:r>
          </a:p>
        </xdr:txBody>
      </xdr:sp>
    </xdr:grpSp>
    <xdr:clientData/>
  </xdr:twoCellAnchor>
  <xdr:twoCellAnchor editAs="oneCell">
    <xdr:from>
      <xdr:col>6</xdr:col>
      <xdr:colOff>0</xdr:colOff>
      <xdr:row>3</xdr:row>
      <xdr:rowOff>0</xdr:rowOff>
    </xdr:from>
    <xdr:to>
      <xdr:col>41</xdr:col>
      <xdr:colOff>223215</xdr:colOff>
      <xdr:row>7</xdr:row>
      <xdr:rowOff>196408</xdr:rowOff>
    </xdr:to>
    <xdr:grpSp>
      <xdr:nvGrpSpPr>
        <xdr:cNvPr id="2" name="Navigation">
          <a:extLst>
            <a:ext uri="{FF2B5EF4-FFF2-40B4-BE49-F238E27FC236}">
              <a16:creationId xmlns:a16="http://schemas.microsoft.com/office/drawing/2014/main" id="{00000000-0008-0000-3700-000002000000}"/>
            </a:ext>
          </a:extLst>
        </xdr:cNvPr>
        <xdr:cNvGrpSpPr/>
      </xdr:nvGrpSpPr>
      <xdr:grpSpPr>
        <a:xfrm>
          <a:off x="1882588" y="605118"/>
          <a:ext cx="11204980" cy="1003231"/>
          <a:chOff x="1576553" y="592282"/>
          <a:chExt cx="11373937" cy="986117"/>
        </a:xfrm>
      </xdr:grpSpPr>
      <xdr:cxnSp macro="">
        <xdr:nvCxnSpPr>
          <xdr:cNvPr id="3" name="Reference">
            <a:extLst>
              <a:ext uri="{FF2B5EF4-FFF2-40B4-BE49-F238E27FC236}">
                <a16:creationId xmlns:a16="http://schemas.microsoft.com/office/drawing/2014/main" id="{00000000-0008-0000-3700-000003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4" name="7: Project Review">
            <a:hlinkClick xmlns:r="http://schemas.openxmlformats.org/officeDocument/2006/relationships" r:id="rId3" tooltip="Project Review"/>
            <a:extLst>
              <a:ext uri="{FF2B5EF4-FFF2-40B4-BE49-F238E27FC236}">
                <a16:creationId xmlns:a16="http://schemas.microsoft.com/office/drawing/2014/main" id="{00000000-0008-0000-3700-000004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5" name="6: Payment">
            <a:hlinkClick xmlns:r="http://schemas.openxmlformats.org/officeDocument/2006/relationships" r:id="rId4" tooltip="Payment"/>
            <a:extLst>
              <a:ext uri="{FF2B5EF4-FFF2-40B4-BE49-F238E27FC236}">
                <a16:creationId xmlns:a16="http://schemas.microsoft.com/office/drawing/2014/main" id="{00000000-0008-0000-3700-000005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6" name="5: Equipment Input">
            <a:hlinkClick xmlns:r="http://schemas.openxmlformats.org/officeDocument/2006/relationships" r:id="rId5" tooltip="Equipment Input"/>
            <a:extLst>
              <a:ext uri="{FF2B5EF4-FFF2-40B4-BE49-F238E27FC236}">
                <a16:creationId xmlns:a16="http://schemas.microsoft.com/office/drawing/2014/main" id="{00000000-0008-0000-3700-000006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7" name="4: DTM">
            <a:hlinkClick xmlns:r="http://schemas.openxmlformats.org/officeDocument/2006/relationships" r:id="rId6" tooltip="Building Information"/>
            <a:extLst>
              <a:ext uri="{FF2B5EF4-FFF2-40B4-BE49-F238E27FC236}">
                <a16:creationId xmlns:a16="http://schemas.microsoft.com/office/drawing/2014/main" id="{00000000-0008-0000-3700-000007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8" name="3: Customer/Bldg Info">
            <a:hlinkClick xmlns:r="http://schemas.openxmlformats.org/officeDocument/2006/relationships" r:id="rId7" tooltip="Customer Information"/>
            <a:extLst>
              <a:ext uri="{FF2B5EF4-FFF2-40B4-BE49-F238E27FC236}">
                <a16:creationId xmlns:a16="http://schemas.microsoft.com/office/drawing/2014/main" id="{00000000-0008-0000-3700-000008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9" name="2: Design Team">
            <a:hlinkClick xmlns:r="http://schemas.openxmlformats.org/officeDocument/2006/relationships" r:id="rId8" tooltip="Trade Ally/Vendor Information"/>
            <a:extLst>
              <a:ext uri="{FF2B5EF4-FFF2-40B4-BE49-F238E27FC236}">
                <a16:creationId xmlns:a16="http://schemas.microsoft.com/office/drawing/2014/main" id="{00000000-0008-0000-3700-000009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0" name="1: T&amp;C's">
            <a:hlinkClick xmlns:r="http://schemas.openxmlformats.org/officeDocument/2006/relationships" r:id="rId9" tooltip="Terms &amp; Conditions"/>
            <a:extLst>
              <a:ext uri="{FF2B5EF4-FFF2-40B4-BE49-F238E27FC236}">
                <a16:creationId xmlns:a16="http://schemas.microsoft.com/office/drawing/2014/main" id="{00000000-0008-0000-3700-00000A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14" name="Header">
          <a:extLst>
            <a:ext uri="{FF2B5EF4-FFF2-40B4-BE49-F238E27FC236}">
              <a16:creationId xmlns:a16="http://schemas.microsoft.com/office/drawing/2014/main" id="{00000000-0008-0000-3700-00000E000000}"/>
            </a:ext>
          </a:extLst>
        </xdr:cNvPr>
        <xdr:cNvGrpSpPr/>
      </xdr:nvGrpSpPr>
      <xdr:grpSpPr>
        <a:xfrm>
          <a:off x="0" y="0"/>
          <a:ext cx="15374471" cy="605118"/>
          <a:chOff x="0" y="0"/>
          <a:chExt cx="15822705" cy="591825"/>
        </a:xfrm>
      </xdr:grpSpPr>
      <xdr:grpSp>
        <xdr:nvGrpSpPr>
          <xdr:cNvPr id="15" name="Header">
            <a:extLst>
              <a:ext uri="{FF2B5EF4-FFF2-40B4-BE49-F238E27FC236}">
                <a16:creationId xmlns:a16="http://schemas.microsoft.com/office/drawing/2014/main" id="{00000000-0008-0000-3700-00000F000000}"/>
              </a:ext>
            </a:extLst>
          </xdr:cNvPr>
          <xdr:cNvGrpSpPr/>
        </xdr:nvGrpSpPr>
        <xdr:grpSpPr>
          <a:xfrm>
            <a:off x="0" y="0"/>
            <a:ext cx="15822705" cy="591825"/>
            <a:chOff x="0" y="0"/>
            <a:chExt cx="15822705" cy="591825"/>
          </a:xfrm>
        </xdr:grpSpPr>
        <xdr:sp macro="" textlink="">
          <xdr:nvSpPr>
            <xdr:cNvPr id="26" name="Reference">
              <a:extLst>
                <a:ext uri="{FF2B5EF4-FFF2-40B4-BE49-F238E27FC236}">
                  <a16:creationId xmlns:a16="http://schemas.microsoft.com/office/drawing/2014/main" id="{00000000-0008-0000-3700-00001A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ontact">
              <a:hlinkClick xmlns:r="http://schemas.openxmlformats.org/officeDocument/2006/relationships" r:id="rId10" tooltip="Contact"/>
              <a:extLst>
                <a:ext uri="{FF2B5EF4-FFF2-40B4-BE49-F238E27FC236}">
                  <a16:creationId xmlns:a16="http://schemas.microsoft.com/office/drawing/2014/main" id="{00000000-0008-0000-3700-00001B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Completion">
              <a:hlinkClick xmlns:r="http://schemas.openxmlformats.org/officeDocument/2006/relationships" r:id="rId11" tooltip=" "/>
              <a:extLst>
                <a:ext uri="{FF2B5EF4-FFF2-40B4-BE49-F238E27FC236}">
                  <a16:creationId xmlns:a16="http://schemas.microsoft.com/office/drawing/2014/main" id="{00000000-0008-0000-3700-00001C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Offer">
              <a:hlinkClick xmlns:r="http://schemas.openxmlformats.org/officeDocument/2006/relationships" r:id="rId12" tooltip=" "/>
              <a:extLst>
                <a:ext uri="{FF2B5EF4-FFF2-40B4-BE49-F238E27FC236}">
                  <a16:creationId xmlns:a16="http://schemas.microsoft.com/office/drawing/2014/main" id="{00000000-0008-0000-3700-00001D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Instructions">
              <a:hlinkClick xmlns:r="http://schemas.openxmlformats.org/officeDocument/2006/relationships" r:id="rId13" tooltip="Instructions"/>
              <a:extLst>
                <a:ext uri="{FF2B5EF4-FFF2-40B4-BE49-F238E27FC236}">
                  <a16:creationId xmlns:a16="http://schemas.microsoft.com/office/drawing/2014/main" id="{00000000-0008-0000-3700-00001E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Welcome">
              <a:hlinkClick xmlns:r="http://schemas.openxmlformats.org/officeDocument/2006/relationships" r:id="rId14" tooltip="Welcome"/>
              <a:extLst>
                <a:ext uri="{FF2B5EF4-FFF2-40B4-BE49-F238E27FC236}">
                  <a16:creationId xmlns:a16="http://schemas.microsoft.com/office/drawing/2014/main" id="{00000000-0008-0000-3700-00001F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2" name="Evergy Logo">
              <a:extLst>
                <a:ext uri="{FF2B5EF4-FFF2-40B4-BE49-F238E27FC236}">
                  <a16:creationId xmlns:a16="http://schemas.microsoft.com/office/drawing/2014/main" id="{00000000-0008-0000-3700-00002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21" name="Dividers">
            <a:extLst>
              <a:ext uri="{FF2B5EF4-FFF2-40B4-BE49-F238E27FC236}">
                <a16:creationId xmlns:a16="http://schemas.microsoft.com/office/drawing/2014/main" id="{00000000-0008-0000-3700-000015000000}"/>
              </a:ext>
            </a:extLst>
          </xdr:cNvPr>
          <xdr:cNvGrpSpPr/>
        </xdr:nvGrpSpPr>
        <xdr:grpSpPr>
          <a:xfrm>
            <a:off x="1615312" y="85571"/>
            <a:ext cx="12926000" cy="423176"/>
            <a:chOff x="1615312" y="85571"/>
            <a:chExt cx="12926000" cy="423176"/>
          </a:xfrm>
        </xdr:grpSpPr>
        <xdr:cxnSp macro="">
          <xdr:nvCxnSpPr>
            <xdr:cNvPr id="22" name="Divider 4">
              <a:extLst>
                <a:ext uri="{FF2B5EF4-FFF2-40B4-BE49-F238E27FC236}">
                  <a16:creationId xmlns:a16="http://schemas.microsoft.com/office/drawing/2014/main" id="{00000000-0008-0000-3700-000016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3">
              <a:extLst>
                <a:ext uri="{FF2B5EF4-FFF2-40B4-BE49-F238E27FC236}">
                  <a16:creationId xmlns:a16="http://schemas.microsoft.com/office/drawing/2014/main" id="{00000000-0008-0000-3700-00001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2">
              <a:extLst>
                <a:ext uri="{FF2B5EF4-FFF2-40B4-BE49-F238E27FC236}">
                  <a16:creationId xmlns:a16="http://schemas.microsoft.com/office/drawing/2014/main" id="{00000000-0008-0000-3700-000018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1">
              <a:extLst>
                <a:ext uri="{FF2B5EF4-FFF2-40B4-BE49-F238E27FC236}">
                  <a16:creationId xmlns:a16="http://schemas.microsoft.com/office/drawing/2014/main" id="{00000000-0008-0000-3700-000019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8</xdr:col>
      <xdr:colOff>0</xdr:colOff>
      <xdr:row>11</xdr:row>
      <xdr:rowOff>1</xdr:rowOff>
    </xdr:to>
    <xdr:grpSp>
      <xdr:nvGrpSpPr>
        <xdr:cNvPr id="19" name="Steps">
          <a:extLst>
            <a:ext uri="{FF2B5EF4-FFF2-40B4-BE49-F238E27FC236}">
              <a16:creationId xmlns:a16="http://schemas.microsoft.com/office/drawing/2014/main" id="{00000000-0008-0000-3800-000013000000}"/>
            </a:ext>
          </a:extLst>
        </xdr:cNvPr>
        <xdr:cNvGrpSpPr/>
      </xdr:nvGrpSpPr>
      <xdr:grpSpPr>
        <a:xfrm>
          <a:off x="313765" y="1815353"/>
          <a:ext cx="2196353" cy="403413"/>
          <a:chOff x="583291" y="1825490"/>
          <a:chExt cx="2196892" cy="403080"/>
        </a:xfrm>
      </xdr:grpSpPr>
      <xdr:sp macro="" textlink="">
        <xdr:nvSpPr>
          <xdr:cNvPr id="20" name="Step 2">
            <a:hlinkClick xmlns:r="http://schemas.openxmlformats.org/officeDocument/2006/relationships" r:id="rId1" tooltip="Measure Completion"/>
            <a:extLst>
              <a:ext uri="{FF2B5EF4-FFF2-40B4-BE49-F238E27FC236}">
                <a16:creationId xmlns:a16="http://schemas.microsoft.com/office/drawing/2014/main" id="{00000000-0008-0000-3800-000014000000}"/>
              </a:ext>
            </a:extLst>
          </xdr:cNvPr>
          <xdr:cNvSpPr/>
        </xdr:nvSpPr>
        <xdr:spPr>
          <a:xfrm>
            <a:off x="583291" y="2027028"/>
            <a:ext cx="2196892" cy="201542"/>
          </a:xfrm>
          <a:prstGeom prst="rect">
            <a:avLst/>
          </a:prstGeom>
          <a:solidFill>
            <a:schemeClr val="bg1">
              <a:lumMod val="95000"/>
            </a:schemeClr>
          </a:solidFill>
          <a:ln>
            <a:solidFill>
              <a:schemeClr val="bg1">
                <a:lumMod val="85000"/>
              </a:schemeClr>
            </a:solidFill>
          </a:ln>
          <a:scene3d>
            <a:camera prst="orthographicFront"/>
            <a:lightRig rig="threePt" dir="t"/>
          </a:scene3d>
          <a:sp3d>
            <a:bevelB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Step 2: Measure Input</a:t>
            </a:r>
          </a:p>
        </xdr:txBody>
      </xdr:sp>
      <xdr:sp macro="" textlink="">
        <xdr:nvSpPr>
          <xdr:cNvPr id="21" name="Step 1">
            <a:hlinkClick xmlns:r="http://schemas.openxmlformats.org/officeDocument/2006/relationships" r:id="rId2" tooltip="Lighting Schedule"/>
            <a:extLst>
              <a:ext uri="{FF2B5EF4-FFF2-40B4-BE49-F238E27FC236}">
                <a16:creationId xmlns:a16="http://schemas.microsoft.com/office/drawing/2014/main" id="{00000000-0008-0000-3800-000015000000}"/>
              </a:ext>
            </a:extLst>
          </xdr:cNvPr>
          <xdr:cNvSpPr/>
        </xdr:nvSpPr>
        <xdr:spPr>
          <a:xfrm>
            <a:off x="583291" y="1825490"/>
            <a:ext cx="2196892" cy="201538"/>
          </a:xfrm>
          <a:prstGeom prst="rect">
            <a:avLst/>
          </a:prstGeom>
          <a:solidFill>
            <a:srgbClr val="317CC0"/>
          </a:solidFill>
          <a:ln>
            <a:solidFill>
              <a:srgbClr val="317CC0"/>
            </a:solidFill>
          </a:ln>
          <a:scene3d>
            <a:camera prst="orthographicFront"/>
            <a:lightRig rig="threePt" dir="t"/>
          </a:scene3d>
          <a:sp3d>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rgbClr val="FFFFFF"/>
                </a:solidFill>
                <a:latin typeface="Arial" panose="020B0604020202020204" pitchFamily="34" charset="0"/>
                <a:ea typeface="+mn-ea"/>
                <a:cs typeface="Arial" panose="020B0604020202020204" pitchFamily="34" charset="0"/>
              </a:rPr>
              <a:t>Step 1: Lighting Schedule</a:t>
            </a:r>
          </a:p>
        </xdr:txBody>
      </xdr:sp>
    </xdr:grpSp>
    <xdr:clientData/>
  </xdr:twoCellAnchor>
  <xdr:twoCellAnchor editAs="oneCell">
    <xdr:from>
      <xdr:col>6</xdr:col>
      <xdr:colOff>0</xdr:colOff>
      <xdr:row>3</xdr:row>
      <xdr:rowOff>815</xdr:rowOff>
    </xdr:from>
    <xdr:to>
      <xdr:col>41</xdr:col>
      <xdr:colOff>223215</xdr:colOff>
      <xdr:row>8</xdr:row>
      <xdr:rowOff>0</xdr:rowOff>
    </xdr:to>
    <xdr:grpSp>
      <xdr:nvGrpSpPr>
        <xdr:cNvPr id="9" name="Navigation">
          <a:extLst>
            <a:ext uri="{FF2B5EF4-FFF2-40B4-BE49-F238E27FC236}">
              <a16:creationId xmlns:a16="http://schemas.microsoft.com/office/drawing/2014/main" id="{00000000-0008-0000-3800-000009000000}"/>
            </a:ext>
          </a:extLst>
        </xdr:cNvPr>
        <xdr:cNvGrpSpPr/>
      </xdr:nvGrpSpPr>
      <xdr:grpSpPr>
        <a:xfrm>
          <a:off x="1882588" y="605933"/>
          <a:ext cx="11204980" cy="1007714"/>
          <a:chOff x="1576553" y="592282"/>
          <a:chExt cx="11373937" cy="986117"/>
        </a:xfrm>
      </xdr:grpSpPr>
      <xdr:cxnSp macro="">
        <xdr:nvCxnSpPr>
          <xdr:cNvPr id="10" name="Reference">
            <a:extLst>
              <a:ext uri="{FF2B5EF4-FFF2-40B4-BE49-F238E27FC236}">
                <a16:creationId xmlns:a16="http://schemas.microsoft.com/office/drawing/2014/main" id="{00000000-0008-0000-3800-00000A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1" name="7: Project Review">
            <a:hlinkClick xmlns:r="http://schemas.openxmlformats.org/officeDocument/2006/relationships" r:id="rId3" tooltip="Project Review"/>
            <a:extLst>
              <a:ext uri="{FF2B5EF4-FFF2-40B4-BE49-F238E27FC236}">
                <a16:creationId xmlns:a16="http://schemas.microsoft.com/office/drawing/2014/main" id="{00000000-0008-0000-3800-00000B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2" name="6: Payment">
            <a:hlinkClick xmlns:r="http://schemas.openxmlformats.org/officeDocument/2006/relationships" r:id="rId4" tooltip="Payment"/>
            <a:extLst>
              <a:ext uri="{FF2B5EF4-FFF2-40B4-BE49-F238E27FC236}">
                <a16:creationId xmlns:a16="http://schemas.microsoft.com/office/drawing/2014/main" id="{00000000-0008-0000-3800-00000C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3" name="5: Equipment Input">
            <a:hlinkClick xmlns:r="http://schemas.openxmlformats.org/officeDocument/2006/relationships" r:id="rId5" tooltip="Equipment Input"/>
            <a:extLst>
              <a:ext uri="{FF2B5EF4-FFF2-40B4-BE49-F238E27FC236}">
                <a16:creationId xmlns:a16="http://schemas.microsoft.com/office/drawing/2014/main" id="{00000000-0008-0000-3800-00000D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4" name="4: DTM">
            <a:hlinkClick xmlns:r="http://schemas.openxmlformats.org/officeDocument/2006/relationships" r:id="rId6" tooltip="Building Information"/>
            <a:extLst>
              <a:ext uri="{FF2B5EF4-FFF2-40B4-BE49-F238E27FC236}">
                <a16:creationId xmlns:a16="http://schemas.microsoft.com/office/drawing/2014/main" id="{00000000-0008-0000-3800-00000E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5" name="3: Customer/Bldg Info">
            <a:hlinkClick xmlns:r="http://schemas.openxmlformats.org/officeDocument/2006/relationships" r:id="rId7" tooltip="Customer Information"/>
            <a:extLst>
              <a:ext uri="{FF2B5EF4-FFF2-40B4-BE49-F238E27FC236}">
                <a16:creationId xmlns:a16="http://schemas.microsoft.com/office/drawing/2014/main" id="{00000000-0008-0000-3800-00000F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6" name="2: Design Team">
            <a:hlinkClick xmlns:r="http://schemas.openxmlformats.org/officeDocument/2006/relationships" r:id="rId8" tooltip="Trade Ally/Vendor Information"/>
            <a:extLst>
              <a:ext uri="{FF2B5EF4-FFF2-40B4-BE49-F238E27FC236}">
                <a16:creationId xmlns:a16="http://schemas.microsoft.com/office/drawing/2014/main" id="{00000000-0008-0000-3800-000010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7" name="1: T&amp;C's">
            <a:hlinkClick xmlns:r="http://schemas.openxmlformats.org/officeDocument/2006/relationships" r:id="rId9" tooltip="Terms &amp; Conditions"/>
            <a:extLst>
              <a:ext uri="{FF2B5EF4-FFF2-40B4-BE49-F238E27FC236}">
                <a16:creationId xmlns:a16="http://schemas.microsoft.com/office/drawing/2014/main" id="{00000000-0008-0000-3800-000011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3800-000002000000}"/>
            </a:ext>
          </a:extLst>
        </xdr:cNvPr>
        <xdr:cNvGrpSpPr/>
      </xdr:nvGrpSpPr>
      <xdr:grpSpPr>
        <a:xfrm>
          <a:off x="0" y="0"/>
          <a:ext cx="15374471" cy="605118"/>
          <a:chOff x="0" y="0"/>
          <a:chExt cx="15822705" cy="591825"/>
        </a:xfrm>
      </xdr:grpSpPr>
      <xdr:grpSp>
        <xdr:nvGrpSpPr>
          <xdr:cNvPr id="3" name="Header">
            <a:extLst>
              <a:ext uri="{FF2B5EF4-FFF2-40B4-BE49-F238E27FC236}">
                <a16:creationId xmlns:a16="http://schemas.microsoft.com/office/drawing/2014/main" id="{00000000-0008-0000-3800-000003000000}"/>
              </a:ext>
            </a:extLst>
          </xdr:cNvPr>
          <xdr:cNvGrpSpPr/>
        </xdr:nvGrpSpPr>
        <xdr:grpSpPr>
          <a:xfrm>
            <a:off x="0" y="0"/>
            <a:ext cx="15822705" cy="591825"/>
            <a:chOff x="0" y="0"/>
            <a:chExt cx="15822705" cy="591825"/>
          </a:xfrm>
        </xdr:grpSpPr>
        <xdr:sp macro="" textlink="">
          <xdr:nvSpPr>
            <xdr:cNvPr id="18" name="Reference">
              <a:extLst>
                <a:ext uri="{FF2B5EF4-FFF2-40B4-BE49-F238E27FC236}">
                  <a16:creationId xmlns:a16="http://schemas.microsoft.com/office/drawing/2014/main" id="{00000000-0008-0000-3800-000012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ntact">
              <a:hlinkClick xmlns:r="http://schemas.openxmlformats.org/officeDocument/2006/relationships" r:id="rId10" tooltip="Contact"/>
              <a:extLst>
                <a:ext uri="{FF2B5EF4-FFF2-40B4-BE49-F238E27FC236}">
                  <a16:creationId xmlns:a16="http://schemas.microsoft.com/office/drawing/2014/main" id="{00000000-0008-0000-3800-000016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Completion">
              <a:hlinkClick xmlns:r="http://schemas.openxmlformats.org/officeDocument/2006/relationships" r:id="rId11" tooltip=" "/>
              <a:extLst>
                <a:ext uri="{FF2B5EF4-FFF2-40B4-BE49-F238E27FC236}">
                  <a16:creationId xmlns:a16="http://schemas.microsoft.com/office/drawing/2014/main" id="{00000000-0008-0000-3800-000017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Offer">
              <a:hlinkClick xmlns:r="http://schemas.openxmlformats.org/officeDocument/2006/relationships" r:id="rId12" tooltip=" "/>
              <a:extLst>
                <a:ext uri="{FF2B5EF4-FFF2-40B4-BE49-F238E27FC236}">
                  <a16:creationId xmlns:a16="http://schemas.microsoft.com/office/drawing/2014/main" id="{00000000-0008-0000-3800-000018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Instructions">
              <a:hlinkClick xmlns:r="http://schemas.openxmlformats.org/officeDocument/2006/relationships" r:id="rId13" tooltip="Instructions"/>
              <a:extLst>
                <a:ext uri="{FF2B5EF4-FFF2-40B4-BE49-F238E27FC236}">
                  <a16:creationId xmlns:a16="http://schemas.microsoft.com/office/drawing/2014/main" id="{00000000-0008-0000-3800-000019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Welcome">
              <a:hlinkClick xmlns:r="http://schemas.openxmlformats.org/officeDocument/2006/relationships" r:id="rId14" tooltip="Welcome"/>
              <a:extLst>
                <a:ext uri="{FF2B5EF4-FFF2-40B4-BE49-F238E27FC236}">
                  <a16:creationId xmlns:a16="http://schemas.microsoft.com/office/drawing/2014/main" id="{00000000-0008-0000-3800-00001A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7" name="Evergy Logo">
              <a:extLst>
                <a:ext uri="{FF2B5EF4-FFF2-40B4-BE49-F238E27FC236}">
                  <a16:creationId xmlns:a16="http://schemas.microsoft.com/office/drawing/2014/main" id="{00000000-0008-0000-3800-00001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4" name="Dividers">
            <a:extLst>
              <a:ext uri="{FF2B5EF4-FFF2-40B4-BE49-F238E27FC236}">
                <a16:creationId xmlns:a16="http://schemas.microsoft.com/office/drawing/2014/main" id="{00000000-0008-0000-3800-000004000000}"/>
              </a:ext>
            </a:extLst>
          </xdr:cNvPr>
          <xdr:cNvGrpSpPr/>
        </xdr:nvGrpSpPr>
        <xdr:grpSpPr>
          <a:xfrm>
            <a:off x="1615312" y="85571"/>
            <a:ext cx="12926000" cy="423176"/>
            <a:chOff x="1615312" y="85571"/>
            <a:chExt cx="12926000" cy="423176"/>
          </a:xfrm>
        </xdr:grpSpPr>
        <xdr:cxnSp macro="">
          <xdr:nvCxnSpPr>
            <xdr:cNvPr id="5" name="Divider 4">
              <a:extLst>
                <a:ext uri="{FF2B5EF4-FFF2-40B4-BE49-F238E27FC236}">
                  <a16:creationId xmlns:a16="http://schemas.microsoft.com/office/drawing/2014/main" id="{00000000-0008-0000-3800-000005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38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3800-000007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3800-000008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42</xdr:col>
      <xdr:colOff>145676</xdr:colOff>
      <xdr:row>8</xdr:row>
      <xdr:rowOff>100854</xdr:rowOff>
    </xdr:from>
    <xdr:to>
      <xdr:col>44</xdr:col>
      <xdr:colOff>48499</xdr:colOff>
      <xdr:row>10</xdr:row>
      <xdr:rowOff>108922</xdr:rowOff>
    </xdr:to>
    <xdr:sp macro="" textlink="">
      <xdr:nvSpPr>
        <xdr:cNvPr id="3" name="Arrow: Right zN3S5">
          <a:hlinkClick xmlns:r="http://schemas.openxmlformats.org/officeDocument/2006/relationships" r:id="rId1" tooltip="Forward: Refrigeration"/>
          <a:extLst>
            <a:ext uri="{FF2B5EF4-FFF2-40B4-BE49-F238E27FC236}">
              <a16:creationId xmlns:a16="http://schemas.microsoft.com/office/drawing/2014/main" id="{00000000-0008-0000-3900-000003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0</xdr:colOff>
      <xdr:row>7</xdr:row>
      <xdr:rowOff>197003</xdr:rowOff>
    </xdr:from>
    <xdr:to>
      <xdr:col>14</xdr:col>
      <xdr:colOff>1</xdr:colOff>
      <xdr:row>10</xdr:row>
      <xdr:rowOff>197004</xdr:rowOff>
    </xdr:to>
    <xdr:grpSp>
      <xdr:nvGrpSpPr>
        <xdr:cNvPr id="37" name="Measure Categories">
          <a:extLst>
            <a:ext uri="{FF2B5EF4-FFF2-40B4-BE49-F238E27FC236}">
              <a16:creationId xmlns:a16="http://schemas.microsoft.com/office/drawing/2014/main" id="{00000000-0008-0000-3900-000025000000}"/>
            </a:ext>
          </a:extLst>
        </xdr:cNvPr>
        <xdr:cNvGrpSpPr/>
      </xdr:nvGrpSpPr>
      <xdr:grpSpPr>
        <a:xfrm>
          <a:off x="1882588" y="1608944"/>
          <a:ext cx="2510119" cy="605119"/>
          <a:chOff x="1933303" y="1599083"/>
          <a:chExt cx="2577738" cy="600892"/>
        </a:xfrm>
      </xdr:grpSpPr>
      <xdr:grpSp>
        <xdr:nvGrpSpPr>
          <xdr:cNvPr id="14" name="Categories">
            <a:extLst>
              <a:ext uri="{FF2B5EF4-FFF2-40B4-BE49-F238E27FC236}">
                <a16:creationId xmlns:a16="http://schemas.microsoft.com/office/drawing/2014/main" id="{00000000-0008-0000-3900-00000E000000}"/>
              </a:ext>
            </a:extLst>
          </xdr:cNvPr>
          <xdr:cNvGrpSpPr/>
        </xdr:nvGrpSpPr>
        <xdr:grpSpPr>
          <a:xfrm>
            <a:off x="1933316" y="1599083"/>
            <a:ext cx="2577724" cy="600892"/>
            <a:chOff x="1936306" y="1577787"/>
            <a:chExt cx="2581847" cy="591637"/>
          </a:xfrm>
        </xdr:grpSpPr>
        <xdr:sp macro="" textlink="">
          <xdr:nvSpPr>
            <xdr:cNvPr id="32" name="WHFS">
              <a:hlinkClick xmlns:r="http://schemas.openxmlformats.org/officeDocument/2006/relationships" r:id="rId1" tooltip="Food Services"/>
              <a:extLst>
                <a:ext uri="{FF2B5EF4-FFF2-40B4-BE49-F238E27FC236}">
                  <a16:creationId xmlns:a16="http://schemas.microsoft.com/office/drawing/2014/main" id="{00000000-0008-0000-3900-000020000000}"/>
                </a:ext>
              </a:extLst>
            </xdr:cNvPr>
            <xdr:cNvSpPr/>
          </xdr:nvSpPr>
          <xdr:spPr>
            <a:xfrm>
              <a:off x="3227235" y="1577788"/>
              <a:ext cx="1290918" cy="59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HVAC">
              <a:hlinkClick xmlns:r="http://schemas.openxmlformats.org/officeDocument/2006/relationships" r:id="rId2" tooltip="HVAC"/>
              <a:extLst>
                <a:ext uri="{FF2B5EF4-FFF2-40B4-BE49-F238E27FC236}">
                  <a16:creationId xmlns:a16="http://schemas.microsoft.com/office/drawing/2014/main" id="{00000000-0008-0000-3900-00001E000000}"/>
                </a:ext>
              </a:extLst>
            </xdr:cNvPr>
            <xdr:cNvSpPr/>
          </xdr:nvSpPr>
          <xdr:spPr>
            <a:xfrm>
              <a:off x="1936306" y="1577787"/>
              <a:ext cx="1290917" cy="5916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31" name="Dividers">
            <a:extLst>
              <a:ext uri="{FF2B5EF4-FFF2-40B4-BE49-F238E27FC236}">
                <a16:creationId xmlns:a16="http://schemas.microsoft.com/office/drawing/2014/main" id="{00000000-0008-0000-3900-00001F000000}"/>
              </a:ext>
            </a:extLst>
          </xdr:cNvPr>
          <xdr:cNvGrpSpPr/>
        </xdr:nvGrpSpPr>
        <xdr:grpSpPr>
          <a:xfrm>
            <a:off x="1933303" y="1599085"/>
            <a:ext cx="2577738" cy="506498"/>
            <a:chOff x="1933303" y="1599085"/>
            <a:chExt cx="2577738" cy="506498"/>
          </a:xfrm>
        </xdr:grpSpPr>
        <xdr:cxnSp macro="">
          <xdr:nvCxnSpPr>
            <xdr:cNvPr id="28" name="Divider 3">
              <a:extLst>
                <a:ext uri="{FF2B5EF4-FFF2-40B4-BE49-F238E27FC236}">
                  <a16:creationId xmlns:a16="http://schemas.microsoft.com/office/drawing/2014/main" id="{00000000-0008-0000-3900-00001C000000}"/>
                </a:ext>
              </a:extLst>
            </xdr:cNvPr>
            <xdr:cNvCxnSpPr/>
          </xdr:nvCxnSpPr>
          <xdr:spPr>
            <a:xfrm>
              <a:off x="4511041" y="1599085"/>
              <a:ext cx="0" cy="50320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2">
              <a:extLst>
                <a:ext uri="{FF2B5EF4-FFF2-40B4-BE49-F238E27FC236}">
                  <a16:creationId xmlns:a16="http://schemas.microsoft.com/office/drawing/2014/main" id="{00000000-0008-0000-3900-00001B000000}"/>
                </a:ext>
              </a:extLst>
            </xdr:cNvPr>
            <xdr:cNvCxnSpPr/>
          </xdr:nvCxnSpPr>
          <xdr:spPr>
            <a:xfrm>
              <a:off x="3222243" y="1599085"/>
              <a:ext cx="0" cy="50320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1">
              <a:extLst>
                <a:ext uri="{FF2B5EF4-FFF2-40B4-BE49-F238E27FC236}">
                  <a16:creationId xmlns:a16="http://schemas.microsoft.com/office/drawing/2014/main" id="{00000000-0008-0000-3900-00000F000000}"/>
                </a:ext>
              </a:extLst>
            </xdr:cNvPr>
            <xdr:cNvCxnSpPr/>
          </xdr:nvCxnSpPr>
          <xdr:spPr>
            <a:xfrm>
              <a:off x="1933303" y="1602377"/>
              <a:ext cx="0" cy="50320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6</xdr:col>
      <xdr:colOff>0</xdr:colOff>
      <xdr:row>3</xdr:row>
      <xdr:rowOff>0</xdr:rowOff>
    </xdr:from>
    <xdr:to>
      <xdr:col>41</xdr:col>
      <xdr:colOff>223215</xdr:colOff>
      <xdr:row>7</xdr:row>
      <xdr:rowOff>196408</xdr:rowOff>
    </xdr:to>
    <xdr:grpSp>
      <xdr:nvGrpSpPr>
        <xdr:cNvPr id="2" name="Navigation">
          <a:extLst>
            <a:ext uri="{FF2B5EF4-FFF2-40B4-BE49-F238E27FC236}">
              <a16:creationId xmlns:a16="http://schemas.microsoft.com/office/drawing/2014/main" id="{00000000-0008-0000-3900-000002000000}"/>
            </a:ext>
          </a:extLst>
        </xdr:cNvPr>
        <xdr:cNvGrpSpPr/>
      </xdr:nvGrpSpPr>
      <xdr:grpSpPr>
        <a:xfrm>
          <a:off x="1882588" y="605118"/>
          <a:ext cx="11204980" cy="1003231"/>
          <a:chOff x="1576553" y="592282"/>
          <a:chExt cx="11373937" cy="986117"/>
        </a:xfrm>
      </xdr:grpSpPr>
      <xdr:cxnSp macro="">
        <xdr:nvCxnSpPr>
          <xdr:cNvPr id="4" name="Reference">
            <a:extLst>
              <a:ext uri="{FF2B5EF4-FFF2-40B4-BE49-F238E27FC236}">
                <a16:creationId xmlns:a16="http://schemas.microsoft.com/office/drawing/2014/main" id="{00000000-0008-0000-3900-000004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5" name="7: Project Review">
            <a:hlinkClick xmlns:r="http://schemas.openxmlformats.org/officeDocument/2006/relationships" r:id="rId3" tooltip="Project Review"/>
            <a:extLst>
              <a:ext uri="{FF2B5EF4-FFF2-40B4-BE49-F238E27FC236}">
                <a16:creationId xmlns:a16="http://schemas.microsoft.com/office/drawing/2014/main" id="{00000000-0008-0000-3900-000005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6" name="6: Payment">
            <a:hlinkClick xmlns:r="http://schemas.openxmlformats.org/officeDocument/2006/relationships" r:id="rId4" tooltip="Payment"/>
            <a:extLst>
              <a:ext uri="{FF2B5EF4-FFF2-40B4-BE49-F238E27FC236}">
                <a16:creationId xmlns:a16="http://schemas.microsoft.com/office/drawing/2014/main" id="{00000000-0008-0000-3900-000006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7" name="5: Equipment Input">
            <a:hlinkClick xmlns:r="http://schemas.openxmlformats.org/officeDocument/2006/relationships" r:id="rId5" tooltip="Equipment Input"/>
            <a:extLst>
              <a:ext uri="{FF2B5EF4-FFF2-40B4-BE49-F238E27FC236}">
                <a16:creationId xmlns:a16="http://schemas.microsoft.com/office/drawing/2014/main" id="{00000000-0008-0000-3900-000007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8" name="4: DTM">
            <a:hlinkClick xmlns:r="http://schemas.openxmlformats.org/officeDocument/2006/relationships" r:id="rId6" tooltip="Building Information"/>
            <a:extLst>
              <a:ext uri="{FF2B5EF4-FFF2-40B4-BE49-F238E27FC236}">
                <a16:creationId xmlns:a16="http://schemas.microsoft.com/office/drawing/2014/main" id="{00000000-0008-0000-3900-000008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9" name="3: Customer/Bldg Info">
            <a:hlinkClick xmlns:r="http://schemas.openxmlformats.org/officeDocument/2006/relationships" r:id="rId7" tooltip="Customer Information"/>
            <a:extLst>
              <a:ext uri="{FF2B5EF4-FFF2-40B4-BE49-F238E27FC236}">
                <a16:creationId xmlns:a16="http://schemas.microsoft.com/office/drawing/2014/main" id="{00000000-0008-0000-3900-000009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0" name="2: Design Team">
            <a:hlinkClick xmlns:r="http://schemas.openxmlformats.org/officeDocument/2006/relationships" r:id="rId8" tooltip="Trade Ally/Vendor Information"/>
            <a:extLst>
              <a:ext uri="{FF2B5EF4-FFF2-40B4-BE49-F238E27FC236}">
                <a16:creationId xmlns:a16="http://schemas.microsoft.com/office/drawing/2014/main" id="{00000000-0008-0000-3900-00000A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1" name="1: T&amp;C's">
            <a:hlinkClick xmlns:r="http://schemas.openxmlformats.org/officeDocument/2006/relationships" r:id="rId9" tooltip="Terms &amp; Conditions"/>
            <a:extLst>
              <a:ext uri="{FF2B5EF4-FFF2-40B4-BE49-F238E27FC236}">
                <a16:creationId xmlns:a16="http://schemas.microsoft.com/office/drawing/2014/main" id="{00000000-0008-0000-3900-00000B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12" name="Header">
          <a:extLst>
            <a:ext uri="{FF2B5EF4-FFF2-40B4-BE49-F238E27FC236}">
              <a16:creationId xmlns:a16="http://schemas.microsoft.com/office/drawing/2014/main" id="{00000000-0008-0000-3900-00000C000000}"/>
            </a:ext>
          </a:extLst>
        </xdr:cNvPr>
        <xdr:cNvGrpSpPr/>
      </xdr:nvGrpSpPr>
      <xdr:grpSpPr>
        <a:xfrm>
          <a:off x="0" y="0"/>
          <a:ext cx="15374471" cy="605118"/>
          <a:chOff x="0" y="0"/>
          <a:chExt cx="15822705" cy="591825"/>
        </a:xfrm>
      </xdr:grpSpPr>
      <xdr:grpSp>
        <xdr:nvGrpSpPr>
          <xdr:cNvPr id="13" name="Header">
            <a:extLst>
              <a:ext uri="{FF2B5EF4-FFF2-40B4-BE49-F238E27FC236}">
                <a16:creationId xmlns:a16="http://schemas.microsoft.com/office/drawing/2014/main" id="{00000000-0008-0000-3900-00000D000000}"/>
              </a:ext>
            </a:extLst>
          </xdr:cNvPr>
          <xdr:cNvGrpSpPr/>
        </xdr:nvGrpSpPr>
        <xdr:grpSpPr>
          <a:xfrm>
            <a:off x="0" y="0"/>
            <a:ext cx="15822705" cy="591825"/>
            <a:chOff x="0" y="0"/>
            <a:chExt cx="15822705" cy="591825"/>
          </a:xfrm>
        </xdr:grpSpPr>
        <xdr:sp macro="" textlink="">
          <xdr:nvSpPr>
            <xdr:cNvPr id="41" name="Reference">
              <a:extLst>
                <a:ext uri="{FF2B5EF4-FFF2-40B4-BE49-F238E27FC236}">
                  <a16:creationId xmlns:a16="http://schemas.microsoft.com/office/drawing/2014/main" id="{00000000-0008-0000-3900-000029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Contact">
              <a:hlinkClick xmlns:r="http://schemas.openxmlformats.org/officeDocument/2006/relationships" r:id="rId10" tooltip="Contact"/>
              <a:extLst>
                <a:ext uri="{FF2B5EF4-FFF2-40B4-BE49-F238E27FC236}">
                  <a16:creationId xmlns:a16="http://schemas.microsoft.com/office/drawing/2014/main" id="{00000000-0008-0000-3900-00002A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mpletion">
              <a:hlinkClick xmlns:r="http://schemas.openxmlformats.org/officeDocument/2006/relationships" r:id="rId11" tooltip=" "/>
              <a:extLst>
                <a:ext uri="{FF2B5EF4-FFF2-40B4-BE49-F238E27FC236}">
                  <a16:creationId xmlns:a16="http://schemas.microsoft.com/office/drawing/2014/main" id="{00000000-0008-0000-3900-00002B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Offer">
              <a:hlinkClick xmlns:r="http://schemas.openxmlformats.org/officeDocument/2006/relationships" r:id="rId12" tooltip=" "/>
              <a:extLst>
                <a:ext uri="{FF2B5EF4-FFF2-40B4-BE49-F238E27FC236}">
                  <a16:creationId xmlns:a16="http://schemas.microsoft.com/office/drawing/2014/main" id="{00000000-0008-0000-3900-00002C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Instructions">
              <a:hlinkClick xmlns:r="http://schemas.openxmlformats.org/officeDocument/2006/relationships" r:id="rId13" tooltip="Instructions"/>
              <a:extLst>
                <a:ext uri="{FF2B5EF4-FFF2-40B4-BE49-F238E27FC236}">
                  <a16:creationId xmlns:a16="http://schemas.microsoft.com/office/drawing/2014/main" id="{00000000-0008-0000-3900-00002D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Welcome">
              <a:hlinkClick xmlns:r="http://schemas.openxmlformats.org/officeDocument/2006/relationships" r:id="rId14" tooltip="Welcome"/>
              <a:extLst>
                <a:ext uri="{FF2B5EF4-FFF2-40B4-BE49-F238E27FC236}">
                  <a16:creationId xmlns:a16="http://schemas.microsoft.com/office/drawing/2014/main" id="{00000000-0008-0000-3900-00002E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7" name="Evergy Logo">
              <a:extLst>
                <a:ext uri="{FF2B5EF4-FFF2-40B4-BE49-F238E27FC236}">
                  <a16:creationId xmlns:a16="http://schemas.microsoft.com/office/drawing/2014/main" id="{00000000-0008-0000-3900-00002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16" name="Dividers">
            <a:extLst>
              <a:ext uri="{FF2B5EF4-FFF2-40B4-BE49-F238E27FC236}">
                <a16:creationId xmlns:a16="http://schemas.microsoft.com/office/drawing/2014/main" id="{00000000-0008-0000-3900-000010000000}"/>
              </a:ext>
            </a:extLst>
          </xdr:cNvPr>
          <xdr:cNvGrpSpPr/>
        </xdr:nvGrpSpPr>
        <xdr:grpSpPr>
          <a:xfrm>
            <a:off x="1615312" y="85571"/>
            <a:ext cx="12926000" cy="423176"/>
            <a:chOff x="1615312" y="85571"/>
            <a:chExt cx="12926000" cy="423176"/>
          </a:xfrm>
        </xdr:grpSpPr>
        <xdr:cxnSp macro="">
          <xdr:nvCxnSpPr>
            <xdr:cNvPr id="29" name="Divider 4">
              <a:extLst>
                <a:ext uri="{FF2B5EF4-FFF2-40B4-BE49-F238E27FC236}">
                  <a16:creationId xmlns:a16="http://schemas.microsoft.com/office/drawing/2014/main" id="{00000000-0008-0000-3900-00001D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3">
              <a:extLst>
                <a:ext uri="{FF2B5EF4-FFF2-40B4-BE49-F238E27FC236}">
                  <a16:creationId xmlns:a16="http://schemas.microsoft.com/office/drawing/2014/main" id="{00000000-0008-0000-3900-00002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2">
              <a:extLst>
                <a:ext uri="{FF2B5EF4-FFF2-40B4-BE49-F238E27FC236}">
                  <a16:creationId xmlns:a16="http://schemas.microsoft.com/office/drawing/2014/main" id="{00000000-0008-0000-3900-000027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1">
              <a:extLst>
                <a:ext uri="{FF2B5EF4-FFF2-40B4-BE49-F238E27FC236}">
                  <a16:creationId xmlns:a16="http://schemas.microsoft.com/office/drawing/2014/main" id="{00000000-0008-0000-3900-000028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42</xdr:col>
      <xdr:colOff>145676</xdr:colOff>
      <xdr:row>8</xdr:row>
      <xdr:rowOff>100854</xdr:rowOff>
    </xdr:from>
    <xdr:to>
      <xdr:col>44</xdr:col>
      <xdr:colOff>48499</xdr:colOff>
      <xdr:row>10</xdr:row>
      <xdr:rowOff>108922</xdr:rowOff>
    </xdr:to>
    <xdr:sp macro="" textlink="">
      <xdr:nvSpPr>
        <xdr:cNvPr id="3" name="Arrow: Right N3S6">
          <a:hlinkClick xmlns:r="http://schemas.openxmlformats.org/officeDocument/2006/relationships" r:id="rId1" tooltip="Forward: Food Services"/>
          <a:extLst>
            <a:ext uri="{FF2B5EF4-FFF2-40B4-BE49-F238E27FC236}">
              <a16:creationId xmlns:a16="http://schemas.microsoft.com/office/drawing/2014/main" id="{00000000-0008-0000-3A00-000003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2" name="Arrow: Left N3S4">
          <a:hlinkClick xmlns:r="http://schemas.openxmlformats.org/officeDocument/2006/relationships" r:id="rId2" tooltip="Back: HVAC"/>
          <a:extLst>
            <a:ext uri="{FF2B5EF4-FFF2-40B4-BE49-F238E27FC236}">
              <a16:creationId xmlns:a16="http://schemas.microsoft.com/office/drawing/2014/main" id="{00000000-0008-0000-3A00-000002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0</xdr:colOff>
      <xdr:row>7</xdr:row>
      <xdr:rowOff>198119</xdr:rowOff>
    </xdr:from>
    <xdr:to>
      <xdr:col>18</xdr:col>
      <xdr:colOff>0</xdr:colOff>
      <xdr:row>11</xdr:row>
      <xdr:rowOff>0</xdr:rowOff>
    </xdr:to>
    <xdr:grpSp>
      <xdr:nvGrpSpPr>
        <xdr:cNvPr id="20" name="Measure Categories">
          <a:extLst>
            <a:ext uri="{FF2B5EF4-FFF2-40B4-BE49-F238E27FC236}">
              <a16:creationId xmlns:a16="http://schemas.microsoft.com/office/drawing/2014/main" id="{00000000-0008-0000-3A00-000014000000}"/>
            </a:ext>
          </a:extLst>
        </xdr:cNvPr>
        <xdr:cNvGrpSpPr/>
      </xdr:nvGrpSpPr>
      <xdr:grpSpPr>
        <a:xfrm>
          <a:off x="1882588" y="1610060"/>
          <a:ext cx="3765177" cy="608705"/>
          <a:chOff x="1933767" y="1578643"/>
          <a:chExt cx="3875261" cy="591066"/>
        </a:xfrm>
      </xdr:grpSpPr>
      <xdr:grpSp>
        <xdr:nvGrpSpPr>
          <xdr:cNvPr id="18" name="Categories">
            <a:extLst>
              <a:ext uri="{FF2B5EF4-FFF2-40B4-BE49-F238E27FC236}">
                <a16:creationId xmlns:a16="http://schemas.microsoft.com/office/drawing/2014/main" id="{00000000-0008-0000-3A00-000012000000}"/>
              </a:ext>
            </a:extLst>
          </xdr:cNvPr>
          <xdr:cNvGrpSpPr/>
        </xdr:nvGrpSpPr>
        <xdr:grpSpPr>
          <a:xfrm>
            <a:off x="1933767" y="1578643"/>
            <a:ext cx="3875261" cy="591066"/>
            <a:chOff x="1933767" y="1578643"/>
            <a:chExt cx="3875261" cy="591066"/>
          </a:xfrm>
        </xdr:grpSpPr>
        <xdr:sp macro="" textlink="">
          <xdr:nvSpPr>
            <xdr:cNvPr id="30" name="WHFS">
              <a:hlinkClick xmlns:r="http://schemas.openxmlformats.org/officeDocument/2006/relationships" r:id="rId3" tooltip="Food Services"/>
              <a:extLst>
                <a:ext uri="{FF2B5EF4-FFF2-40B4-BE49-F238E27FC236}">
                  <a16:creationId xmlns:a16="http://schemas.microsoft.com/office/drawing/2014/main" id="{00000000-0008-0000-3A00-00001E000000}"/>
                </a:ext>
              </a:extLst>
            </xdr:cNvPr>
            <xdr:cNvSpPr/>
          </xdr:nvSpPr>
          <xdr:spPr>
            <a:xfrm>
              <a:off x="4518111" y="1578645"/>
              <a:ext cx="1290917" cy="5910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Refrigeration">
              <a:hlinkClick xmlns:r="http://schemas.openxmlformats.org/officeDocument/2006/relationships" r:id="rId4" tooltip="HVAC"/>
              <a:extLst>
                <a:ext uri="{FF2B5EF4-FFF2-40B4-BE49-F238E27FC236}">
                  <a16:creationId xmlns:a16="http://schemas.microsoft.com/office/drawing/2014/main" id="{00000000-0008-0000-3A00-00001D000000}"/>
                </a:ext>
              </a:extLst>
            </xdr:cNvPr>
            <xdr:cNvSpPr/>
          </xdr:nvSpPr>
          <xdr:spPr>
            <a:xfrm>
              <a:off x="3225520" y="1578645"/>
              <a:ext cx="1291753" cy="5910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HVAC">
              <a:hlinkClick xmlns:r="http://schemas.openxmlformats.org/officeDocument/2006/relationships" r:id="rId5" tooltip="Refrigeration"/>
              <a:extLst>
                <a:ext uri="{FF2B5EF4-FFF2-40B4-BE49-F238E27FC236}">
                  <a16:creationId xmlns:a16="http://schemas.microsoft.com/office/drawing/2014/main" id="{00000000-0008-0000-3A00-00001C000000}"/>
                </a:ext>
              </a:extLst>
            </xdr:cNvPr>
            <xdr:cNvSpPr/>
          </xdr:nvSpPr>
          <xdr:spPr>
            <a:xfrm>
              <a:off x="1933767" y="1578643"/>
              <a:ext cx="1291753" cy="5910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9" name="Dividers">
            <a:extLst>
              <a:ext uri="{FF2B5EF4-FFF2-40B4-BE49-F238E27FC236}">
                <a16:creationId xmlns:a16="http://schemas.microsoft.com/office/drawing/2014/main" id="{00000000-0008-0000-3A00-000013000000}"/>
              </a:ext>
            </a:extLst>
          </xdr:cNvPr>
          <xdr:cNvGrpSpPr/>
        </xdr:nvGrpSpPr>
        <xdr:grpSpPr>
          <a:xfrm>
            <a:off x="1933767" y="1578645"/>
            <a:ext cx="3875261" cy="493956"/>
            <a:chOff x="1933767" y="1578645"/>
            <a:chExt cx="3875261" cy="493956"/>
          </a:xfrm>
        </xdr:grpSpPr>
        <xdr:cxnSp macro="">
          <xdr:nvCxnSpPr>
            <xdr:cNvPr id="10" name="Divider 4">
              <a:extLst>
                <a:ext uri="{FF2B5EF4-FFF2-40B4-BE49-F238E27FC236}">
                  <a16:creationId xmlns:a16="http://schemas.microsoft.com/office/drawing/2014/main" id="{00000000-0008-0000-3A00-00000A000000}"/>
                </a:ext>
              </a:extLst>
            </xdr:cNvPr>
            <xdr:cNvCxnSpPr/>
          </xdr:nvCxnSpPr>
          <xdr:spPr>
            <a:xfrm>
              <a:off x="5809028" y="1578645"/>
              <a:ext cx="0" cy="4894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3">
              <a:extLst>
                <a:ext uri="{FF2B5EF4-FFF2-40B4-BE49-F238E27FC236}">
                  <a16:creationId xmlns:a16="http://schemas.microsoft.com/office/drawing/2014/main" id="{00000000-0008-0000-3A00-000008000000}"/>
                </a:ext>
              </a:extLst>
            </xdr:cNvPr>
            <xdr:cNvCxnSpPr/>
          </xdr:nvCxnSpPr>
          <xdr:spPr>
            <a:xfrm>
              <a:off x="4517274" y="1578645"/>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3A00-000007000000}"/>
                </a:ext>
              </a:extLst>
            </xdr:cNvPr>
            <xdr:cNvCxnSpPr/>
          </xdr:nvCxnSpPr>
          <xdr:spPr>
            <a:xfrm>
              <a:off x="3225521" y="1578645"/>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1">
              <a:extLst>
                <a:ext uri="{FF2B5EF4-FFF2-40B4-BE49-F238E27FC236}">
                  <a16:creationId xmlns:a16="http://schemas.microsoft.com/office/drawing/2014/main" id="{00000000-0008-0000-3A00-000006000000}"/>
                </a:ext>
              </a:extLst>
            </xdr:cNvPr>
            <xdr:cNvCxnSpPr/>
          </xdr:nvCxnSpPr>
          <xdr:spPr>
            <a:xfrm>
              <a:off x="1933767" y="1578645"/>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6</xdr:col>
      <xdr:colOff>0</xdr:colOff>
      <xdr:row>3</xdr:row>
      <xdr:rowOff>815</xdr:rowOff>
    </xdr:from>
    <xdr:to>
      <xdr:col>41</xdr:col>
      <xdr:colOff>223215</xdr:colOff>
      <xdr:row>8</xdr:row>
      <xdr:rowOff>0</xdr:rowOff>
    </xdr:to>
    <xdr:grpSp>
      <xdr:nvGrpSpPr>
        <xdr:cNvPr id="4" name="Navigation">
          <a:extLst>
            <a:ext uri="{FF2B5EF4-FFF2-40B4-BE49-F238E27FC236}">
              <a16:creationId xmlns:a16="http://schemas.microsoft.com/office/drawing/2014/main" id="{00000000-0008-0000-3A00-000004000000}"/>
            </a:ext>
          </a:extLst>
        </xdr:cNvPr>
        <xdr:cNvGrpSpPr/>
      </xdr:nvGrpSpPr>
      <xdr:grpSpPr>
        <a:xfrm>
          <a:off x="1882588" y="605933"/>
          <a:ext cx="11204980" cy="1007714"/>
          <a:chOff x="1576553" y="592282"/>
          <a:chExt cx="11373937" cy="986117"/>
        </a:xfrm>
      </xdr:grpSpPr>
      <xdr:cxnSp macro="">
        <xdr:nvCxnSpPr>
          <xdr:cNvPr id="5" name="Reference">
            <a:extLst>
              <a:ext uri="{FF2B5EF4-FFF2-40B4-BE49-F238E27FC236}">
                <a16:creationId xmlns:a16="http://schemas.microsoft.com/office/drawing/2014/main" id="{00000000-0008-0000-3A00-000005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9" name="7: Project Review">
            <a:hlinkClick xmlns:r="http://schemas.openxmlformats.org/officeDocument/2006/relationships" r:id="rId6" tooltip="Project Review"/>
            <a:extLst>
              <a:ext uri="{FF2B5EF4-FFF2-40B4-BE49-F238E27FC236}">
                <a16:creationId xmlns:a16="http://schemas.microsoft.com/office/drawing/2014/main" id="{00000000-0008-0000-3A00-000009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1" name="6: Payment">
            <a:hlinkClick xmlns:r="http://schemas.openxmlformats.org/officeDocument/2006/relationships" r:id="rId7" tooltip="Payment"/>
            <a:extLst>
              <a:ext uri="{FF2B5EF4-FFF2-40B4-BE49-F238E27FC236}">
                <a16:creationId xmlns:a16="http://schemas.microsoft.com/office/drawing/2014/main" id="{00000000-0008-0000-3A00-00000B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2" name="5: Equipment Input">
            <a:hlinkClick xmlns:r="http://schemas.openxmlformats.org/officeDocument/2006/relationships" r:id="rId8" tooltip="Equipment Input"/>
            <a:extLst>
              <a:ext uri="{FF2B5EF4-FFF2-40B4-BE49-F238E27FC236}">
                <a16:creationId xmlns:a16="http://schemas.microsoft.com/office/drawing/2014/main" id="{00000000-0008-0000-3A00-00000C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3" name="4: DTM">
            <a:hlinkClick xmlns:r="http://schemas.openxmlformats.org/officeDocument/2006/relationships" r:id="rId9" tooltip="Building Information"/>
            <a:extLst>
              <a:ext uri="{FF2B5EF4-FFF2-40B4-BE49-F238E27FC236}">
                <a16:creationId xmlns:a16="http://schemas.microsoft.com/office/drawing/2014/main" id="{00000000-0008-0000-3A00-00000D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4" name="3: Customer/Bldg Info">
            <a:hlinkClick xmlns:r="http://schemas.openxmlformats.org/officeDocument/2006/relationships" r:id="rId10" tooltip="Customer Information"/>
            <a:extLst>
              <a:ext uri="{FF2B5EF4-FFF2-40B4-BE49-F238E27FC236}">
                <a16:creationId xmlns:a16="http://schemas.microsoft.com/office/drawing/2014/main" id="{00000000-0008-0000-3A00-00000E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5" name="2: Design Team">
            <a:hlinkClick xmlns:r="http://schemas.openxmlformats.org/officeDocument/2006/relationships" r:id="rId11" tooltip="Trade Ally/Vendor Information"/>
            <a:extLst>
              <a:ext uri="{FF2B5EF4-FFF2-40B4-BE49-F238E27FC236}">
                <a16:creationId xmlns:a16="http://schemas.microsoft.com/office/drawing/2014/main" id="{00000000-0008-0000-3A00-00000F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6" name="1: T&amp;C's">
            <a:hlinkClick xmlns:r="http://schemas.openxmlformats.org/officeDocument/2006/relationships" r:id="rId12" tooltip="Terms &amp; Conditions"/>
            <a:extLst>
              <a:ext uri="{FF2B5EF4-FFF2-40B4-BE49-F238E27FC236}">
                <a16:creationId xmlns:a16="http://schemas.microsoft.com/office/drawing/2014/main" id="{00000000-0008-0000-3A00-000010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17" name="Header">
          <a:extLst>
            <a:ext uri="{FF2B5EF4-FFF2-40B4-BE49-F238E27FC236}">
              <a16:creationId xmlns:a16="http://schemas.microsoft.com/office/drawing/2014/main" id="{00000000-0008-0000-3A00-000011000000}"/>
            </a:ext>
          </a:extLst>
        </xdr:cNvPr>
        <xdr:cNvGrpSpPr/>
      </xdr:nvGrpSpPr>
      <xdr:grpSpPr>
        <a:xfrm>
          <a:off x="0" y="0"/>
          <a:ext cx="15374471" cy="605118"/>
          <a:chOff x="0" y="0"/>
          <a:chExt cx="15822705" cy="591825"/>
        </a:xfrm>
      </xdr:grpSpPr>
      <xdr:grpSp>
        <xdr:nvGrpSpPr>
          <xdr:cNvPr id="21" name="Header">
            <a:extLst>
              <a:ext uri="{FF2B5EF4-FFF2-40B4-BE49-F238E27FC236}">
                <a16:creationId xmlns:a16="http://schemas.microsoft.com/office/drawing/2014/main" id="{00000000-0008-0000-3A00-000015000000}"/>
              </a:ext>
            </a:extLst>
          </xdr:cNvPr>
          <xdr:cNvGrpSpPr/>
        </xdr:nvGrpSpPr>
        <xdr:grpSpPr>
          <a:xfrm>
            <a:off x="0" y="0"/>
            <a:ext cx="15822705" cy="591825"/>
            <a:chOff x="0" y="0"/>
            <a:chExt cx="15822705" cy="591825"/>
          </a:xfrm>
        </xdr:grpSpPr>
        <xdr:sp macro="" textlink="">
          <xdr:nvSpPr>
            <xdr:cNvPr id="41" name="Reference">
              <a:extLst>
                <a:ext uri="{FF2B5EF4-FFF2-40B4-BE49-F238E27FC236}">
                  <a16:creationId xmlns:a16="http://schemas.microsoft.com/office/drawing/2014/main" id="{00000000-0008-0000-3A00-000029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Contact">
              <a:hlinkClick xmlns:r="http://schemas.openxmlformats.org/officeDocument/2006/relationships" r:id="rId13" tooltip="Contact"/>
              <a:extLst>
                <a:ext uri="{FF2B5EF4-FFF2-40B4-BE49-F238E27FC236}">
                  <a16:creationId xmlns:a16="http://schemas.microsoft.com/office/drawing/2014/main" id="{00000000-0008-0000-3A00-00002A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mpletion">
              <a:hlinkClick xmlns:r="http://schemas.openxmlformats.org/officeDocument/2006/relationships" r:id="rId14" tooltip=" "/>
              <a:extLst>
                <a:ext uri="{FF2B5EF4-FFF2-40B4-BE49-F238E27FC236}">
                  <a16:creationId xmlns:a16="http://schemas.microsoft.com/office/drawing/2014/main" id="{00000000-0008-0000-3A00-00002B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Offer">
              <a:hlinkClick xmlns:r="http://schemas.openxmlformats.org/officeDocument/2006/relationships" r:id="rId15" tooltip=" "/>
              <a:extLst>
                <a:ext uri="{FF2B5EF4-FFF2-40B4-BE49-F238E27FC236}">
                  <a16:creationId xmlns:a16="http://schemas.microsoft.com/office/drawing/2014/main" id="{00000000-0008-0000-3A00-00002C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Instructions">
              <a:hlinkClick xmlns:r="http://schemas.openxmlformats.org/officeDocument/2006/relationships" r:id="rId16" tooltip="Instructions"/>
              <a:extLst>
                <a:ext uri="{FF2B5EF4-FFF2-40B4-BE49-F238E27FC236}">
                  <a16:creationId xmlns:a16="http://schemas.microsoft.com/office/drawing/2014/main" id="{00000000-0008-0000-3A00-00002D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Welcome">
              <a:hlinkClick xmlns:r="http://schemas.openxmlformats.org/officeDocument/2006/relationships" r:id="rId17" tooltip="Welcome"/>
              <a:extLst>
                <a:ext uri="{FF2B5EF4-FFF2-40B4-BE49-F238E27FC236}">
                  <a16:creationId xmlns:a16="http://schemas.microsoft.com/office/drawing/2014/main" id="{00000000-0008-0000-3A00-00002E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7" name="Evergy Logo">
              <a:extLst>
                <a:ext uri="{FF2B5EF4-FFF2-40B4-BE49-F238E27FC236}">
                  <a16:creationId xmlns:a16="http://schemas.microsoft.com/office/drawing/2014/main" id="{00000000-0008-0000-3A00-00002F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24" name="Dividers">
            <a:extLst>
              <a:ext uri="{FF2B5EF4-FFF2-40B4-BE49-F238E27FC236}">
                <a16:creationId xmlns:a16="http://schemas.microsoft.com/office/drawing/2014/main" id="{00000000-0008-0000-3A00-000018000000}"/>
              </a:ext>
            </a:extLst>
          </xdr:cNvPr>
          <xdr:cNvGrpSpPr/>
        </xdr:nvGrpSpPr>
        <xdr:grpSpPr>
          <a:xfrm>
            <a:off x="1615312" y="85571"/>
            <a:ext cx="12926000" cy="423176"/>
            <a:chOff x="1615312" y="85571"/>
            <a:chExt cx="12926000" cy="423176"/>
          </a:xfrm>
        </xdr:grpSpPr>
        <xdr:cxnSp macro="">
          <xdr:nvCxnSpPr>
            <xdr:cNvPr id="25" name="Divider 4">
              <a:extLst>
                <a:ext uri="{FF2B5EF4-FFF2-40B4-BE49-F238E27FC236}">
                  <a16:creationId xmlns:a16="http://schemas.microsoft.com/office/drawing/2014/main" id="{00000000-0008-0000-3A00-000019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3A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2">
              <a:extLst>
                <a:ext uri="{FF2B5EF4-FFF2-40B4-BE49-F238E27FC236}">
                  <a16:creationId xmlns:a16="http://schemas.microsoft.com/office/drawing/2014/main" id="{00000000-0008-0000-3A00-000027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1">
              <a:extLst>
                <a:ext uri="{FF2B5EF4-FFF2-40B4-BE49-F238E27FC236}">
                  <a16:creationId xmlns:a16="http://schemas.microsoft.com/office/drawing/2014/main" id="{00000000-0008-0000-3A00-000028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212910</xdr:colOff>
      <xdr:row>8</xdr:row>
      <xdr:rowOff>100854</xdr:rowOff>
    </xdr:from>
    <xdr:to>
      <xdr:col>3</xdr:col>
      <xdr:colOff>112057</xdr:colOff>
      <xdr:row>10</xdr:row>
      <xdr:rowOff>108922</xdr:rowOff>
    </xdr:to>
    <xdr:sp macro="" textlink="">
      <xdr:nvSpPr>
        <xdr:cNvPr id="2" name="Arrow: Left N3S6">
          <a:hlinkClick xmlns:r="http://schemas.openxmlformats.org/officeDocument/2006/relationships" r:id="rId1" tooltip="Back: Refrigeration"/>
          <a:extLst>
            <a:ext uri="{FF2B5EF4-FFF2-40B4-BE49-F238E27FC236}">
              <a16:creationId xmlns:a16="http://schemas.microsoft.com/office/drawing/2014/main" id="{00000000-0008-0000-3B00-000002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321608</xdr:colOff>
      <xdr:row>8</xdr:row>
      <xdr:rowOff>0</xdr:rowOff>
    </xdr:from>
    <xdr:to>
      <xdr:col>17</xdr:col>
      <xdr:colOff>309922</xdr:colOff>
      <xdr:row>11</xdr:row>
      <xdr:rowOff>33617</xdr:rowOff>
    </xdr:to>
    <xdr:grpSp>
      <xdr:nvGrpSpPr>
        <xdr:cNvPr id="15" name="Measure Categories">
          <a:extLst>
            <a:ext uri="{FF2B5EF4-FFF2-40B4-BE49-F238E27FC236}">
              <a16:creationId xmlns:a16="http://schemas.microsoft.com/office/drawing/2014/main" id="{00000000-0008-0000-3B00-00000F000000}"/>
            </a:ext>
          </a:extLst>
        </xdr:cNvPr>
        <xdr:cNvGrpSpPr/>
      </xdr:nvGrpSpPr>
      <xdr:grpSpPr>
        <a:xfrm>
          <a:off x="1880907" y="1613647"/>
          <a:ext cx="3763015" cy="638735"/>
          <a:chOff x="1935255" y="1577788"/>
          <a:chExt cx="3861067" cy="625288"/>
        </a:xfrm>
      </xdr:grpSpPr>
      <xdr:grpSp>
        <xdr:nvGrpSpPr>
          <xdr:cNvPr id="14" name="Categories">
            <a:extLst>
              <a:ext uri="{FF2B5EF4-FFF2-40B4-BE49-F238E27FC236}">
                <a16:creationId xmlns:a16="http://schemas.microsoft.com/office/drawing/2014/main" id="{00000000-0008-0000-3B00-00000E000000}"/>
              </a:ext>
            </a:extLst>
          </xdr:cNvPr>
          <xdr:cNvGrpSpPr/>
        </xdr:nvGrpSpPr>
        <xdr:grpSpPr>
          <a:xfrm>
            <a:off x="1945021" y="1577788"/>
            <a:ext cx="3851301" cy="625288"/>
            <a:chOff x="1945021" y="1577788"/>
            <a:chExt cx="3851301" cy="625288"/>
          </a:xfrm>
        </xdr:grpSpPr>
        <xdr:sp macro="" textlink="">
          <xdr:nvSpPr>
            <xdr:cNvPr id="26" name="Refrigeration">
              <a:extLst>
                <a:ext uri="{FF2B5EF4-FFF2-40B4-BE49-F238E27FC236}">
                  <a16:creationId xmlns:a16="http://schemas.microsoft.com/office/drawing/2014/main" id="{00000000-0008-0000-3B00-00001A000000}"/>
                </a:ext>
              </a:extLst>
            </xdr:cNvPr>
            <xdr:cNvSpPr/>
          </xdr:nvSpPr>
          <xdr:spPr>
            <a:xfrm>
              <a:off x="4505404" y="1577788"/>
              <a:ext cx="1290918" cy="6252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WHFS">
              <a:hlinkClick xmlns:r="http://schemas.openxmlformats.org/officeDocument/2006/relationships" r:id="rId2" tooltip="Food Services"/>
              <a:extLst>
                <a:ext uri="{FF2B5EF4-FFF2-40B4-BE49-F238E27FC236}">
                  <a16:creationId xmlns:a16="http://schemas.microsoft.com/office/drawing/2014/main" id="{00000000-0008-0000-3B00-00001B000000}"/>
                </a:ext>
              </a:extLst>
            </xdr:cNvPr>
            <xdr:cNvSpPr/>
          </xdr:nvSpPr>
          <xdr:spPr>
            <a:xfrm>
              <a:off x="3233377" y="1577788"/>
              <a:ext cx="1290918" cy="6252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HVAC">
              <a:hlinkClick xmlns:r="http://schemas.openxmlformats.org/officeDocument/2006/relationships" r:id="rId3" tooltip="Refrigeration"/>
              <a:extLst>
                <a:ext uri="{FF2B5EF4-FFF2-40B4-BE49-F238E27FC236}">
                  <a16:creationId xmlns:a16="http://schemas.microsoft.com/office/drawing/2014/main" id="{00000000-0008-0000-3B00-000019000000}"/>
                </a:ext>
              </a:extLst>
            </xdr:cNvPr>
            <xdr:cNvSpPr/>
          </xdr:nvSpPr>
          <xdr:spPr>
            <a:xfrm>
              <a:off x="1945021" y="1582270"/>
              <a:ext cx="1290917" cy="6208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3" name="Dividers">
            <a:extLst>
              <a:ext uri="{FF2B5EF4-FFF2-40B4-BE49-F238E27FC236}">
                <a16:creationId xmlns:a16="http://schemas.microsoft.com/office/drawing/2014/main" id="{00000000-0008-0000-3B00-00000D000000}"/>
              </a:ext>
            </a:extLst>
          </xdr:cNvPr>
          <xdr:cNvGrpSpPr/>
        </xdr:nvGrpSpPr>
        <xdr:grpSpPr>
          <a:xfrm>
            <a:off x="1935255" y="1577788"/>
            <a:ext cx="2582957" cy="493956"/>
            <a:chOff x="1935255" y="1577788"/>
            <a:chExt cx="2582957" cy="493956"/>
          </a:xfrm>
        </xdr:grpSpPr>
        <xdr:cxnSp macro="">
          <xdr:nvCxnSpPr>
            <xdr:cNvPr id="23" name="Divider 3">
              <a:extLst>
                <a:ext uri="{FF2B5EF4-FFF2-40B4-BE49-F238E27FC236}">
                  <a16:creationId xmlns:a16="http://schemas.microsoft.com/office/drawing/2014/main" id="{00000000-0008-0000-3B00-000017000000}"/>
                </a:ext>
              </a:extLst>
            </xdr:cNvPr>
            <xdr:cNvCxnSpPr/>
          </xdr:nvCxnSpPr>
          <xdr:spPr>
            <a:xfrm>
              <a:off x="4518212" y="1577788"/>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3B00-000016000000}"/>
                </a:ext>
              </a:extLst>
            </xdr:cNvPr>
            <xdr:cNvCxnSpPr/>
          </xdr:nvCxnSpPr>
          <xdr:spPr>
            <a:xfrm>
              <a:off x="3227294" y="1577788"/>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3B00-00000C000000}"/>
                </a:ext>
              </a:extLst>
            </xdr:cNvPr>
            <xdr:cNvCxnSpPr/>
          </xdr:nvCxnSpPr>
          <xdr:spPr>
            <a:xfrm>
              <a:off x="1935255" y="1577788"/>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6</xdr:col>
      <xdr:colOff>0</xdr:colOff>
      <xdr:row>3</xdr:row>
      <xdr:rowOff>815</xdr:rowOff>
    </xdr:from>
    <xdr:to>
      <xdr:col>41</xdr:col>
      <xdr:colOff>223215</xdr:colOff>
      <xdr:row>8</xdr:row>
      <xdr:rowOff>0</xdr:rowOff>
    </xdr:to>
    <xdr:grpSp>
      <xdr:nvGrpSpPr>
        <xdr:cNvPr id="3" name="Navigation">
          <a:extLst>
            <a:ext uri="{FF2B5EF4-FFF2-40B4-BE49-F238E27FC236}">
              <a16:creationId xmlns:a16="http://schemas.microsoft.com/office/drawing/2014/main" id="{00000000-0008-0000-3B00-000003000000}"/>
            </a:ext>
          </a:extLst>
        </xdr:cNvPr>
        <xdr:cNvGrpSpPr/>
      </xdr:nvGrpSpPr>
      <xdr:grpSpPr>
        <a:xfrm>
          <a:off x="1882588" y="605933"/>
          <a:ext cx="11204980" cy="1007714"/>
          <a:chOff x="1576553" y="592282"/>
          <a:chExt cx="11373937" cy="986117"/>
        </a:xfrm>
      </xdr:grpSpPr>
      <xdr:cxnSp macro="">
        <xdr:nvCxnSpPr>
          <xdr:cNvPr id="4" name="Reference">
            <a:extLst>
              <a:ext uri="{FF2B5EF4-FFF2-40B4-BE49-F238E27FC236}">
                <a16:creationId xmlns:a16="http://schemas.microsoft.com/office/drawing/2014/main" id="{00000000-0008-0000-3B00-000004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5" name="7: Project Review">
            <a:hlinkClick xmlns:r="http://schemas.openxmlformats.org/officeDocument/2006/relationships" r:id="rId4" tooltip="Project Review"/>
            <a:extLst>
              <a:ext uri="{FF2B5EF4-FFF2-40B4-BE49-F238E27FC236}">
                <a16:creationId xmlns:a16="http://schemas.microsoft.com/office/drawing/2014/main" id="{00000000-0008-0000-3B00-000005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6" name="6: Payment">
            <a:hlinkClick xmlns:r="http://schemas.openxmlformats.org/officeDocument/2006/relationships" r:id="rId5" tooltip="Payment"/>
            <a:extLst>
              <a:ext uri="{FF2B5EF4-FFF2-40B4-BE49-F238E27FC236}">
                <a16:creationId xmlns:a16="http://schemas.microsoft.com/office/drawing/2014/main" id="{00000000-0008-0000-3B00-000006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7" name="5: Equipment Input">
            <a:hlinkClick xmlns:r="http://schemas.openxmlformats.org/officeDocument/2006/relationships" r:id="rId6" tooltip="Equipment Input"/>
            <a:extLst>
              <a:ext uri="{FF2B5EF4-FFF2-40B4-BE49-F238E27FC236}">
                <a16:creationId xmlns:a16="http://schemas.microsoft.com/office/drawing/2014/main" id="{00000000-0008-0000-3B00-000007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8" name="4: DTM">
            <a:hlinkClick xmlns:r="http://schemas.openxmlformats.org/officeDocument/2006/relationships" r:id="rId7" tooltip="Building Information"/>
            <a:extLst>
              <a:ext uri="{FF2B5EF4-FFF2-40B4-BE49-F238E27FC236}">
                <a16:creationId xmlns:a16="http://schemas.microsoft.com/office/drawing/2014/main" id="{00000000-0008-0000-3B00-000008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9" name="3: Customer/Bldg Info">
            <a:hlinkClick xmlns:r="http://schemas.openxmlformats.org/officeDocument/2006/relationships" r:id="rId8" tooltip="Customer Information"/>
            <a:extLst>
              <a:ext uri="{FF2B5EF4-FFF2-40B4-BE49-F238E27FC236}">
                <a16:creationId xmlns:a16="http://schemas.microsoft.com/office/drawing/2014/main" id="{00000000-0008-0000-3B00-000009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0" name="2: Design Team">
            <a:hlinkClick xmlns:r="http://schemas.openxmlformats.org/officeDocument/2006/relationships" r:id="rId9" tooltip="Trade Ally/Vendor Information"/>
            <a:extLst>
              <a:ext uri="{FF2B5EF4-FFF2-40B4-BE49-F238E27FC236}">
                <a16:creationId xmlns:a16="http://schemas.microsoft.com/office/drawing/2014/main" id="{00000000-0008-0000-3B00-00000A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1" name="1: T&amp;C's">
            <a:hlinkClick xmlns:r="http://schemas.openxmlformats.org/officeDocument/2006/relationships" r:id="rId10" tooltip="Terms &amp; Conditions"/>
            <a:extLst>
              <a:ext uri="{FF2B5EF4-FFF2-40B4-BE49-F238E27FC236}">
                <a16:creationId xmlns:a16="http://schemas.microsoft.com/office/drawing/2014/main" id="{00000000-0008-0000-3B00-00000B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16" name="Header">
          <a:extLst>
            <a:ext uri="{FF2B5EF4-FFF2-40B4-BE49-F238E27FC236}">
              <a16:creationId xmlns:a16="http://schemas.microsoft.com/office/drawing/2014/main" id="{00000000-0008-0000-3B00-000010000000}"/>
            </a:ext>
          </a:extLst>
        </xdr:cNvPr>
        <xdr:cNvGrpSpPr/>
      </xdr:nvGrpSpPr>
      <xdr:grpSpPr>
        <a:xfrm>
          <a:off x="0" y="0"/>
          <a:ext cx="15374471" cy="605118"/>
          <a:chOff x="0" y="0"/>
          <a:chExt cx="15822705" cy="591825"/>
        </a:xfrm>
      </xdr:grpSpPr>
      <xdr:grpSp>
        <xdr:nvGrpSpPr>
          <xdr:cNvPr id="24" name="Header">
            <a:extLst>
              <a:ext uri="{FF2B5EF4-FFF2-40B4-BE49-F238E27FC236}">
                <a16:creationId xmlns:a16="http://schemas.microsoft.com/office/drawing/2014/main" id="{00000000-0008-0000-3B00-000018000000}"/>
              </a:ext>
            </a:extLst>
          </xdr:cNvPr>
          <xdr:cNvGrpSpPr/>
        </xdr:nvGrpSpPr>
        <xdr:grpSpPr>
          <a:xfrm>
            <a:off x="0" y="0"/>
            <a:ext cx="15822705" cy="591825"/>
            <a:chOff x="0" y="0"/>
            <a:chExt cx="15822705" cy="591825"/>
          </a:xfrm>
        </xdr:grpSpPr>
        <xdr:sp macro="" textlink="">
          <xdr:nvSpPr>
            <xdr:cNvPr id="42" name="Reference">
              <a:extLst>
                <a:ext uri="{FF2B5EF4-FFF2-40B4-BE49-F238E27FC236}">
                  <a16:creationId xmlns:a16="http://schemas.microsoft.com/office/drawing/2014/main" id="{00000000-0008-0000-3B00-00002A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ntact">
              <a:hlinkClick xmlns:r="http://schemas.openxmlformats.org/officeDocument/2006/relationships" r:id="rId11" tooltip="Contact"/>
              <a:extLst>
                <a:ext uri="{FF2B5EF4-FFF2-40B4-BE49-F238E27FC236}">
                  <a16:creationId xmlns:a16="http://schemas.microsoft.com/office/drawing/2014/main" id="{00000000-0008-0000-3B00-00002B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ompletion">
              <a:hlinkClick xmlns:r="http://schemas.openxmlformats.org/officeDocument/2006/relationships" r:id="rId12" tooltip=" "/>
              <a:extLst>
                <a:ext uri="{FF2B5EF4-FFF2-40B4-BE49-F238E27FC236}">
                  <a16:creationId xmlns:a16="http://schemas.microsoft.com/office/drawing/2014/main" id="{00000000-0008-0000-3B00-00002C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Offer">
              <a:hlinkClick xmlns:r="http://schemas.openxmlformats.org/officeDocument/2006/relationships" r:id="rId13" tooltip=" "/>
              <a:extLst>
                <a:ext uri="{FF2B5EF4-FFF2-40B4-BE49-F238E27FC236}">
                  <a16:creationId xmlns:a16="http://schemas.microsoft.com/office/drawing/2014/main" id="{00000000-0008-0000-3B00-00002D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Instructions">
              <a:hlinkClick xmlns:r="http://schemas.openxmlformats.org/officeDocument/2006/relationships" r:id="rId14" tooltip="Instructions"/>
              <a:extLst>
                <a:ext uri="{FF2B5EF4-FFF2-40B4-BE49-F238E27FC236}">
                  <a16:creationId xmlns:a16="http://schemas.microsoft.com/office/drawing/2014/main" id="{00000000-0008-0000-3B00-00002E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elcome">
              <a:hlinkClick xmlns:r="http://schemas.openxmlformats.org/officeDocument/2006/relationships" r:id="rId15" tooltip="Welcome"/>
              <a:extLst>
                <a:ext uri="{FF2B5EF4-FFF2-40B4-BE49-F238E27FC236}">
                  <a16:creationId xmlns:a16="http://schemas.microsoft.com/office/drawing/2014/main" id="{00000000-0008-0000-3B00-00002F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8" name="Evergy Logo">
              <a:extLst>
                <a:ext uri="{FF2B5EF4-FFF2-40B4-BE49-F238E27FC236}">
                  <a16:creationId xmlns:a16="http://schemas.microsoft.com/office/drawing/2014/main" id="{00000000-0008-0000-3B00-000030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29" name="Dividers">
            <a:extLst>
              <a:ext uri="{FF2B5EF4-FFF2-40B4-BE49-F238E27FC236}">
                <a16:creationId xmlns:a16="http://schemas.microsoft.com/office/drawing/2014/main" id="{00000000-0008-0000-3B00-00001D000000}"/>
              </a:ext>
            </a:extLst>
          </xdr:cNvPr>
          <xdr:cNvGrpSpPr/>
        </xdr:nvGrpSpPr>
        <xdr:grpSpPr>
          <a:xfrm>
            <a:off x="1615312" y="85571"/>
            <a:ext cx="12926000" cy="423176"/>
            <a:chOff x="1615312" y="85571"/>
            <a:chExt cx="12926000" cy="423176"/>
          </a:xfrm>
        </xdr:grpSpPr>
        <xdr:cxnSp macro="">
          <xdr:nvCxnSpPr>
            <xdr:cNvPr id="38" name="Divider 4">
              <a:extLst>
                <a:ext uri="{FF2B5EF4-FFF2-40B4-BE49-F238E27FC236}">
                  <a16:creationId xmlns:a16="http://schemas.microsoft.com/office/drawing/2014/main" id="{00000000-0008-0000-3B00-000026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3">
              <a:extLst>
                <a:ext uri="{FF2B5EF4-FFF2-40B4-BE49-F238E27FC236}">
                  <a16:creationId xmlns:a16="http://schemas.microsoft.com/office/drawing/2014/main" id="{00000000-0008-0000-3B00-00002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3B00-000028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3B00-000029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42</xdr:col>
      <xdr:colOff>145676</xdr:colOff>
      <xdr:row>8</xdr:row>
      <xdr:rowOff>100854</xdr:rowOff>
    </xdr:from>
    <xdr:to>
      <xdr:col>44</xdr:col>
      <xdr:colOff>48499</xdr:colOff>
      <xdr:row>10</xdr:row>
      <xdr:rowOff>108922</xdr:rowOff>
    </xdr:to>
    <xdr:sp macro="" textlink="">
      <xdr:nvSpPr>
        <xdr:cNvPr id="11" name="Arrow: Right N4S2">
          <a:hlinkClick xmlns:r="http://schemas.openxmlformats.org/officeDocument/2006/relationships" r:id="rId1" tooltip="Forward: Motors and Drives"/>
          <a:extLst>
            <a:ext uri="{FF2B5EF4-FFF2-40B4-BE49-F238E27FC236}">
              <a16:creationId xmlns:a16="http://schemas.microsoft.com/office/drawing/2014/main" id="{00000000-0008-0000-3C00-00000B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319272</xdr:colOff>
      <xdr:row>7</xdr:row>
      <xdr:rowOff>199571</xdr:rowOff>
    </xdr:from>
    <xdr:to>
      <xdr:col>30</xdr:col>
      <xdr:colOff>0</xdr:colOff>
      <xdr:row>11</xdr:row>
      <xdr:rowOff>3</xdr:rowOff>
    </xdr:to>
    <xdr:grpSp>
      <xdr:nvGrpSpPr>
        <xdr:cNvPr id="6" name="Measure Categories">
          <a:extLst>
            <a:ext uri="{FF2B5EF4-FFF2-40B4-BE49-F238E27FC236}">
              <a16:creationId xmlns:a16="http://schemas.microsoft.com/office/drawing/2014/main" id="{00000000-0008-0000-3C00-000006000000}"/>
            </a:ext>
          </a:extLst>
        </xdr:cNvPr>
        <xdr:cNvGrpSpPr/>
      </xdr:nvGrpSpPr>
      <xdr:grpSpPr>
        <a:xfrm>
          <a:off x="1878571" y="1611512"/>
          <a:ext cx="7534370" cy="607256"/>
          <a:chOff x="1936332" y="1580003"/>
          <a:chExt cx="7745287" cy="590101"/>
        </a:xfrm>
      </xdr:grpSpPr>
      <xdr:grpSp>
        <xdr:nvGrpSpPr>
          <xdr:cNvPr id="5" name="Categories">
            <a:extLst>
              <a:ext uri="{FF2B5EF4-FFF2-40B4-BE49-F238E27FC236}">
                <a16:creationId xmlns:a16="http://schemas.microsoft.com/office/drawing/2014/main" id="{00000000-0008-0000-3C00-000005000000}"/>
              </a:ext>
            </a:extLst>
          </xdr:cNvPr>
          <xdr:cNvGrpSpPr/>
        </xdr:nvGrpSpPr>
        <xdr:grpSpPr>
          <a:xfrm>
            <a:off x="1936332" y="1580004"/>
            <a:ext cx="7745287" cy="590100"/>
            <a:chOff x="1936332" y="1580004"/>
            <a:chExt cx="7745287" cy="590100"/>
          </a:xfrm>
        </xdr:grpSpPr>
        <xdr:sp macro="" textlink="">
          <xdr:nvSpPr>
            <xdr:cNvPr id="47" name="Misc">
              <a:hlinkClick xmlns:r="http://schemas.openxmlformats.org/officeDocument/2006/relationships" r:id="rId2" tooltip="Miscellaneous"/>
              <a:extLst>
                <a:ext uri="{FF2B5EF4-FFF2-40B4-BE49-F238E27FC236}">
                  <a16:creationId xmlns:a16="http://schemas.microsoft.com/office/drawing/2014/main" id="{00000000-0008-0000-3C00-00002F000000}"/>
                </a:ext>
              </a:extLst>
            </xdr:cNvPr>
            <xdr:cNvSpPr/>
          </xdr:nvSpPr>
          <xdr:spPr>
            <a:xfrm>
              <a:off x="8390744" y="1580004"/>
              <a:ext cx="1290875" cy="5900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WHFS">
              <a:hlinkClick xmlns:r="http://schemas.openxmlformats.org/officeDocument/2006/relationships" r:id="rId3" tooltip="Water Heating / Food Services"/>
              <a:extLst>
                <a:ext uri="{FF2B5EF4-FFF2-40B4-BE49-F238E27FC236}">
                  <a16:creationId xmlns:a16="http://schemas.microsoft.com/office/drawing/2014/main" id="{00000000-0008-0000-3C00-00002E000000}"/>
                </a:ext>
              </a:extLst>
            </xdr:cNvPr>
            <xdr:cNvSpPr/>
          </xdr:nvSpPr>
          <xdr:spPr>
            <a:xfrm>
              <a:off x="7099870" y="1580005"/>
              <a:ext cx="1290874" cy="5900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Refrigeration">
              <a:hlinkClick xmlns:r="http://schemas.openxmlformats.org/officeDocument/2006/relationships" r:id="rId4" tooltip="Refrigeration"/>
              <a:extLst>
                <a:ext uri="{FF2B5EF4-FFF2-40B4-BE49-F238E27FC236}">
                  <a16:creationId xmlns:a16="http://schemas.microsoft.com/office/drawing/2014/main" id="{00000000-0008-0000-3C00-00002D000000}"/>
                </a:ext>
              </a:extLst>
            </xdr:cNvPr>
            <xdr:cNvSpPr/>
          </xdr:nvSpPr>
          <xdr:spPr>
            <a:xfrm>
              <a:off x="5808996" y="1580005"/>
              <a:ext cx="1290874" cy="5900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AP">
              <a:hlinkClick xmlns:r="http://schemas.openxmlformats.org/officeDocument/2006/relationships" r:id="rId5" tooltip="Compressed Air / Process"/>
              <a:extLst>
                <a:ext uri="{FF2B5EF4-FFF2-40B4-BE49-F238E27FC236}">
                  <a16:creationId xmlns:a16="http://schemas.microsoft.com/office/drawing/2014/main" id="{00000000-0008-0000-3C00-00002C000000}"/>
                </a:ext>
              </a:extLst>
            </xdr:cNvPr>
            <xdr:cNvSpPr/>
          </xdr:nvSpPr>
          <xdr:spPr>
            <a:xfrm>
              <a:off x="4518078" y="1580005"/>
              <a:ext cx="1290918" cy="5900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MD">
              <a:hlinkClick xmlns:r="http://schemas.openxmlformats.org/officeDocument/2006/relationships" r:id="rId6" tooltip="Motors and Drives"/>
              <a:extLst>
                <a:ext uri="{FF2B5EF4-FFF2-40B4-BE49-F238E27FC236}">
                  <a16:creationId xmlns:a16="http://schemas.microsoft.com/office/drawing/2014/main" id="{00000000-0008-0000-3C00-00002B000000}"/>
                </a:ext>
              </a:extLst>
            </xdr:cNvPr>
            <xdr:cNvSpPr/>
          </xdr:nvSpPr>
          <xdr:spPr>
            <a:xfrm>
              <a:off x="3227206" y="1580005"/>
              <a:ext cx="1290917" cy="5900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HVAC">
              <a:hlinkClick xmlns:r="http://schemas.openxmlformats.org/officeDocument/2006/relationships" r:id="rId7" tooltip="HVAC"/>
              <a:extLst>
                <a:ext uri="{FF2B5EF4-FFF2-40B4-BE49-F238E27FC236}">
                  <a16:creationId xmlns:a16="http://schemas.microsoft.com/office/drawing/2014/main" id="{00000000-0008-0000-3C00-00002A000000}"/>
                </a:ext>
              </a:extLst>
            </xdr:cNvPr>
            <xdr:cNvSpPr/>
          </xdr:nvSpPr>
          <xdr:spPr>
            <a:xfrm>
              <a:off x="1936332" y="1580007"/>
              <a:ext cx="1290917" cy="5900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4" name="Dividers">
            <a:extLst>
              <a:ext uri="{FF2B5EF4-FFF2-40B4-BE49-F238E27FC236}">
                <a16:creationId xmlns:a16="http://schemas.microsoft.com/office/drawing/2014/main" id="{00000000-0008-0000-3C00-000004000000}"/>
              </a:ext>
            </a:extLst>
          </xdr:cNvPr>
          <xdr:cNvGrpSpPr/>
        </xdr:nvGrpSpPr>
        <xdr:grpSpPr>
          <a:xfrm>
            <a:off x="1936375" y="1580003"/>
            <a:ext cx="7745244" cy="493957"/>
            <a:chOff x="1936375" y="1580003"/>
            <a:chExt cx="7745244" cy="493957"/>
          </a:xfrm>
        </xdr:grpSpPr>
        <xdr:cxnSp macro="">
          <xdr:nvCxnSpPr>
            <xdr:cNvPr id="48" name="Divider 7">
              <a:extLst>
                <a:ext uri="{FF2B5EF4-FFF2-40B4-BE49-F238E27FC236}">
                  <a16:creationId xmlns:a16="http://schemas.microsoft.com/office/drawing/2014/main" id="{00000000-0008-0000-3C00-000030000000}"/>
                </a:ext>
              </a:extLst>
            </xdr:cNvPr>
            <xdr:cNvCxnSpPr/>
          </xdr:nvCxnSpPr>
          <xdr:spPr>
            <a:xfrm>
              <a:off x="9681619" y="1580003"/>
              <a:ext cx="0" cy="4894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6">
              <a:extLst>
                <a:ext uri="{FF2B5EF4-FFF2-40B4-BE49-F238E27FC236}">
                  <a16:creationId xmlns:a16="http://schemas.microsoft.com/office/drawing/2014/main" id="{00000000-0008-0000-3C00-000029000000}"/>
                </a:ext>
              </a:extLst>
            </xdr:cNvPr>
            <xdr:cNvCxnSpPr/>
          </xdr:nvCxnSpPr>
          <xdr:spPr>
            <a:xfrm>
              <a:off x="8394632" y="1580004"/>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5">
              <a:extLst>
                <a:ext uri="{FF2B5EF4-FFF2-40B4-BE49-F238E27FC236}">
                  <a16:creationId xmlns:a16="http://schemas.microsoft.com/office/drawing/2014/main" id="{00000000-0008-0000-3C00-000027000000}"/>
                </a:ext>
              </a:extLst>
            </xdr:cNvPr>
            <xdr:cNvCxnSpPr/>
          </xdr:nvCxnSpPr>
          <xdr:spPr>
            <a:xfrm>
              <a:off x="7105215" y="1580004"/>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4">
              <a:extLst>
                <a:ext uri="{FF2B5EF4-FFF2-40B4-BE49-F238E27FC236}">
                  <a16:creationId xmlns:a16="http://schemas.microsoft.com/office/drawing/2014/main" id="{00000000-0008-0000-3C00-000028000000}"/>
                </a:ext>
              </a:extLst>
            </xdr:cNvPr>
            <xdr:cNvCxnSpPr/>
          </xdr:nvCxnSpPr>
          <xdr:spPr>
            <a:xfrm>
              <a:off x="5808996" y="1580004"/>
              <a:ext cx="0" cy="4894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3">
              <a:extLst>
                <a:ext uri="{FF2B5EF4-FFF2-40B4-BE49-F238E27FC236}">
                  <a16:creationId xmlns:a16="http://schemas.microsoft.com/office/drawing/2014/main" id="{00000000-0008-0000-3C00-000026000000}"/>
                </a:ext>
              </a:extLst>
            </xdr:cNvPr>
            <xdr:cNvCxnSpPr/>
          </xdr:nvCxnSpPr>
          <xdr:spPr>
            <a:xfrm>
              <a:off x="4518123" y="1580004"/>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2">
              <a:extLst>
                <a:ext uri="{FF2B5EF4-FFF2-40B4-BE49-F238E27FC236}">
                  <a16:creationId xmlns:a16="http://schemas.microsoft.com/office/drawing/2014/main" id="{00000000-0008-0000-3C00-000025000000}"/>
                </a:ext>
              </a:extLst>
            </xdr:cNvPr>
            <xdr:cNvCxnSpPr/>
          </xdr:nvCxnSpPr>
          <xdr:spPr>
            <a:xfrm>
              <a:off x="3230962" y="1580004"/>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a:extLst>
                <a:ext uri="{FF2B5EF4-FFF2-40B4-BE49-F238E27FC236}">
                  <a16:creationId xmlns:a16="http://schemas.microsoft.com/office/drawing/2014/main" id="{00000000-0008-0000-3C00-000024000000}"/>
                </a:ext>
              </a:extLst>
            </xdr:cNvPr>
            <xdr:cNvCxnSpPr/>
          </xdr:nvCxnSpPr>
          <xdr:spPr>
            <a:xfrm>
              <a:off x="1936375" y="1580004"/>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6</xdr:col>
      <xdr:colOff>0</xdr:colOff>
      <xdr:row>3</xdr:row>
      <xdr:rowOff>0</xdr:rowOff>
    </xdr:from>
    <xdr:to>
      <xdr:col>41</xdr:col>
      <xdr:colOff>223215</xdr:colOff>
      <xdr:row>7</xdr:row>
      <xdr:rowOff>196408</xdr:rowOff>
    </xdr:to>
    <xdr:grpSp>
      <xdr:nvGrpSpPr>
        <xdr:cNvPr id="2" name="Navigation">
          <a:extLst>
            <a:ext uri="{FF2B5EF4-FFF2-40B4-BE49-F238E27FC236}">
              <a16:creationId xmlns:a16="http://schemas.microsoft.com/office/drawing/2014/main" id="{00000000-0008-0000-3C00-000002000000}"/>
            </a:ext>
          </a:extLst>
        </xdr:cNvPr>
        <xdr:cNvGrpSpPr/>
      </xdr:nvGrpSpPr>
      <xdr:grpSpPr>
        <a:xfrm>
          <a:off x="1882588" y="605118"/>
          <a:ext cx="11204980" cy="1003231"/>
          <a:chOff x="1576553" y="592282"/>
          <a:chExt cx="11373937" cy="986117"/>
        </a:xfrm>
      </xdr:grpSpPr>
      <xdr:cxnSp macro="">
        <xdr:nvCxnSpPr>
          <xdr:cNvPr id="3" name="Reference">
            <a:extLst>
              <a:ext uri="{FF2B5EF4-FFF2-40B4-BE49-F238E27FC236}">
                <a16:creationId xmlns:a16="http://schemas.microsoft.com/office/drawing/2014/main" id="{00000000-0008-0000-3C00-000003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0" name="7: Project Review">
            <a:hlinkClick xmlns:r="http://schemas.openxmlformats.org/officeDocument/2006/relationships" r:id="rId8" tooltip="Project Review"/>
            <a:extLst>
              <a:ext uri="{FF2B5EF4-FFF2-40B4-BE49-F238E27FC236}">
                <a16:creationId xmlns:a16="http://schemas.microsoft.com/office/drawing/2014/main" id="{00000000-0008-0000-3C00-00000A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3" name="6: Payment">
            <a:hlinkClick xmlns:r="http://schemas.openxmlformats.org/officeDocument/2006/relationships" r:id="rId9" tooltip="Payment"/>
            <a:extLst>
              <a:ext uri="{FF2B5EF4-FFF2-40B4-BE49-F238E27FC236}">
                <a16:creationId xmlns:a16="http://schemas.microsoft.com/office/drawing/2014/main" id="{00000000-0008-0000-3C00-00000D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4" name="5: Equipment Input">
            <a:hlinkClick xmlns:r="http://schemas.openxmlformats.org/officeDocument/2006/relationships" r:id="rId10" tooltip="Equipment Input"/>
            <a:extLst>
              <a:ext uri="{FF2B5EF4-FFF2-40B4-BE49-F238E27FC236}">
                <a16:creationId xmlns:a16="http://schemas.microsoft.com/office/drawing/2014/main" id="{00000000-0008-0000-3C00-00000E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5" name="4: DTM">
            <a:hlinkClick xmlns:r="http://schemas.openxmlformats.org/officeDocument/2006/relationships" r:id="rId11" tooltip="Building Information"/>
            <a:extLst>
              <a:ext uri="{FF2B5EF4-FFF2-40B4-BE49-F238E27FC236}">
                <a16:creationId xmlns:a16="http://schemas.microsoft.com/office/drawing/2014/main" id="{00000000-0008-0000-3C00-00000F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6" name="3: Customer/Bldg Info">
            <a:hlinkClick xmlns:r="http://schemas.openxmlformats.org/officeDocument/2006/relationships" r:id="rId12" tooltip="Customer Information"/>
            <a:extLst>
              <a:ext uri="{FF2B5EF4-FFF2-40B4-BE49-F238E27FC236}">
                <a16:creationId xmlns:a16="http://schemas.microsoft.com/office/drawing/2014/main" id="{00000000-0008-0000-3C00-000010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7" name="2: Design Team">
            <a:hlinkClick xmlns:r="http://schemas.openxmlformats.org/officeDocument/2006/relationships" r:id="rId13" tooltip="Trade Ally/Vendor Information"/>
            <a:extLst>
              <a:ext uri="{FF2B5EF4-FFF2-40B4-BE49-F238E27FC236}">
                <a16:creationId xmlns:a16="http://schemas.microsoft.com/office/drawing/2014/main" id="{00000000-0008-0000-3C00-000011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8" name="1: T&amp;C's">
            <a:hlinkClick xmlns:r="http://schemas.openxmlformats.org/officeDocument/2006/relationships" r:id="rId14" tooltip="Terms &amp; Conditions"/>
            <a:extLst>
              <a:ext uri="{FF2B5EF4-FFF2-40B4-BE49-F238E27FC236}">
                <a16:creationId xmlns:a16="http://schemas.microsoft.com/office/drawing/2014/main" id="{00000000-0008-0000-3C00-000012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7" name="Header">
          <a:extLst>
            <a:ext uri="{FF2B5EF4-FFF2-40B4-BE49-F238E27FC236}">
              <a16:creationId xmlns:a16="http://schemas.microsoft.com/office/drawing/2014/main" id="{00000000-0008-0000-3C00-000007000000}"/>
            </a:ext>
          </a:extLst>
        </xdr:cNvPr>
        <xdr:cNvGrpSpPr/>
      </xdr:nvGrpSpPr>
      <xdr:grpSpPr>
        <a:xfrm>
          <a:off x="0" y="0"/>
          <a:ext cx="15374471" cy="605118"/>
          <a:chOff x="0" y="0"/>
          <a:chExt cx="15822705" cy="591825"/>
        </a:xfrm>
      </xdr:grpSpPr>
      <xdr:grpSp>
        <xdr:nvGrpSpPr>
          <xdr:cNvPr id="8" name="Header">
            <a:extLst>
              <a:ext uri="{FF2B5EF4-FFF2-40B4-BE49-F238E27FC236}">
                <a16:creationId xmlns:a16="http://schemas.microsoft.com/office/drawing/2014/main" id="{00000000-0008-0000-3C00-000008000000}"/>
              </a:ext>
            </a:extLst>
          </xdr:cNvPr>
          <xdr:cNvGrpSpPr/>
        </xdr:nvGrpSpPr>
        <xdr:grpSpPr>
          <a:xfrm>
            <a:off x="0" y="0"/>
            <a:ext cx="15822705" cy="591825"/>
            <a:chOff x="0" y="0"/>
            <a:chExt cx="15822705" cy="591825"/>
          </a:xfrm>
        </xdr:grpSpPr>
        <xdr:sp macro="" textlink="">
          <xdr:nvSpPr>
            <xdr:cNvPr id="22" name="Reference">
              <a:extLst>
                <a:ext uri="{FF2B5EF4-FFF2-40B4-BE49-F238E27FC236}">
                  <a16:creationId xmlns:a16="http://schemas.microsoft.com/office/drawing/2014/main" id="{00000000-0008-0000-3C00-000016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Contact">
              <a:hlinkClick xmlns:r="http://schemas.openxmlformats.org/officeDocument/2006/relationships" r:id="rId15" tooltip="Contact"/>
              <a:extLst>
                <a:ext uri="{FF2B5EF4-FFF2-40B4-BE49-F238E27FC236}">
                  <a16:creationId xmlns:a16="http://schemas.microsoft.com/office/drawing/2014/main" id="{00000000-0008-0000-3C00-000017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Completion">
              <a:hlinkClick xmlns:r="http://schemas.openxmlformats.org/officeDocument/2006/relationships" r:id="rId16" tooltip=" "/>
              <a:extLst>
                <a:ext uri="{FF2B5EF4-FFF2-40B4-BE49-F238E27FC236}">
                  <a16:creationId xmlns:a16="http://schemas.microsoft.com/office/drawing/2014/main" id="{00000000-0008-0000-3C00-000018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Offer">
              <a:hlinkClick xmlns:r="http://schemas.openxmlformats.org/officeDocument/2006/relationships" r:id="rId17" tooltip=" "/>
              <a:extLst>
                <a:ext uri="{FF2B5EF4-FFF2-40B4-BE49-F238E27FC236}">
                  <a16:creationId xmlns:a16="http://schemas.microsoft.com/office/drawing/2014/main" id="{00000000-0008-0000-3C00-000019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Instructions">
              <a:hlinkClick xmlns:r="http://schemas.openxmlformats.org/officeDocument/2006/relationships" r:id="rId18" tooltip="Instructions"/>
              <a:extLst>
                <a:ext uri="{FF2B5EF4-FFF2-40B4-BE49-F238E27FC236}">
                  <a16:creationId xmlns:a16="http://schemas.microsoft.com/office/drawing/2014/main" id="{00000000-0008-0000-3C00-00001A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Welcome">
              <a:hlinkClick xmlns:r="http://schemas.openxmlformats.org/officeDocument/2006/relationships" r:id="rId19" tooltip="Welcome"/>
              <a:extLst>
                <a:ext uri="{FF2B5EF4-FFF2-40B4-BE49-F238E27FC236}">
                  <a16:creationId xmlns:a16="http://schemas.microsoft.com/office/drawing/2014/main" id="{00000000-0008-0000-3C00-00001B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 name="Evergy Logo">
              <a:extLst>
                <a:ext uri="{FF2B5EF4-FFF2-40B4-BE49-F238E27FC236}">
                  <a16:creationId xmlns:a16="http://schemas.microsoft.com/office/drawing/2014/main" id="{00000000-0008-0000-3C00-00001C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9" name="Dividers">
            <a:extLst>
              <a:ext uri="{FF2B5EF4-FFF2-40B4-BE49-F238E27FC236}">
                <a16:creationId xmlns:a16="http://schemas.microsoft.com/office/drawing/2014/main" id="{00000000-0008-0000-3C00-000009000000}"/>
              </a:ext>
            </a:extLst>
          </xdr:cNvPr>
          <xdr:cNvGrpSpPr/>
        </xdr:nvGrpSpPr>
        <xdr:grpSpPr>
          <a:xfrm>
            <a:off x="1615312" y="85571"/>
            <a:ext cx="12926000" cy="423176"/>
            <a:chOff x="1615312" y="85571"/>
            <a:chExt cx="12926000" cy="423176"/>
          </a:xfrm>
        </xdr:grpSpPr>
        <xdr:cxnSp macro="">
          <xdr:nvCxnSpPr>
            <xdr:cNvPr id="12" name="Divider 4">
              <a:extLst>
                <a:ext uri="{FF2B5EF4-FFF2-40B4-BE49-F238E27FC236}">
                  <a16:creationId xmlns:a16="http://schemas.microsoft.com/office/drawing/2014/main" id="{00000000-0008-0000-3C00-00000C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3">
              <a:extLst>
                <a:ext uri="{FF2B5EF4-FFF2-40B4-BE49-F238E27FC236}">
                  <a16:creationId xmlns:a16="http://schemas.microsoft.com/office/drawing/2014/main" id="{00000000-0008-0000-3C00-00001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2">
              <a:extLst>
                <a:ext uri="{FF2B5EF4-FFF2-40B4-BE49-F238E27FC236}">
                  <a16:creationId xmlns:a16="http://schemas.microsoft.com/office/drawing/2014/main" id="{00000000-0008-0000-3C00-000014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1">
              <a:extLst>
                <a:ext uri="{FF2B5EF4-FFF2-40B4-BE49-F238E27FC236}">
                  <a16:creationId xmlns:a16="http://schemas.microsoft.com/office/drawing/2014/main" id="{00000000-0008-0000-3C00-000015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42</xdr:col>
      <xdr:colOff>145676</xdr:colOff>
      <xdr:row>8</xdr:row>
      <xdr:rowOff>100854</xdr:rowOff>
    </xdr:from>
    <xdr:to>
      <xdr:col>44</xdr:col>
      <xdr:colOff>48499</xdr:colOff>
      <xdr:row>10</xdr:row>
      <xdr:rowOff>108922</xdr:rowOff>
    </xdr:to>
    <xdr:sp macro="" textlink="">
      <xdr:nvSpPr>
        <xdr:cNvPr id="11" name="Arrow: Right N4S3">
          <a:hlinkClick xmlns:r="http://schemas.openxmlformats.org/officeDocument/2006/relationships" r:id="rId1" tooltip="Forward: Compressed Air / Process"/>
          <a:extLst>
            <a:ext uri="{FF2B5EF4-FFF2-40B4-BE49-F238E27FC236}">
              <a16:creationId xmlns:a16="http://schemas.microsoft.com/office/drawing/2014/main" id="{00000000-0008-0000-3D00-00000B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10" name="Arrow: Left N4S1">
          <a:hlinkClick xmlns:r="http://schemas.openxmlformats.org/officeDocument/2006/relationships" r:id="rId2" tooltip="Back: HVAC"/>
          <a:extLst>
            <a:ext uri="{FF2B5EF4-FFF2-40B4-BE49-F238E27FC236}">
              <a16:creationId xmlns:a16="http://schemas.microsoft.com/office/drawing/2014/main" id="{00000000-0008-0000-3D00-00000A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321000</xdr:colOff>
      <xdr:row>7</xdr:row>
      <xdr:rowOff>164208</xdr:rowOff>
    </xdr:from>
    <xdr:to>
      <xdr:col>30</xdr:col>
      <xdr:colOff>0</xdr:colOff>
      <xdr:row>11</xdr:row>
      <xdr:rowOff>2</xdr:rowOff>
    </xdr:to>
    <xdr:grpSp>
      <xdr:nvGrpSpPr>
        <xdr:cNvPr id="7" name="Measure Categories">
          <a:extLst>
            <a:ext uri="{FF2B5EF4-FFF2-40B4-BE49-F238E27FC236}">
              <a16:creationId xmlns:a16="http://schemas.microsoft.com/office/drawing/2014/main" id="{00000000-0008-0000-3D00-000007000000}"/>
            </a:ext>
          </a:extLst>
        </xdr:cNvPr>
        <xdr:cNvGrpSpPr/>
      </xdr:nvGrpSpPr>
      <xdr:grpSpPr>
        <a:xfrm>
          <a:off x="1880299" y="1576149"/>
          <a:ext cx="7532642" cy="642618"/>
          <a:chOff x="1934647" y="1544773"/>
          <a:chExt cx="7747235" cy="624688"/>
        </a:xfrm>
      </xdr:grpSpPr>
      <xdr:grpSp>
        <xdr:nvGrpSpPr>
          <xdr:cNvPr id="5" name="Categories">
            <a:extLst>
              <a:ext uri="{FF2B5EF4-FFF2-40B4-BE49-F238E27FC236}">
                <a16:creationId xmlns:a16="http://schemas.microsoft.com/office/drawing/2014/main" id="{00000000-0008-0000-3D00-000005000000}"/>
              </a:ext>
            </a:extLst>
          </xdr:cNvPr>
          <xdr:cNvGrpSpPr/>
        </xdr:nvGrpSpPr>
        <xdr:grpSpPr>
          <a:xfrm>
            <a:off x="1934647" y="1544773"/>
            <a:ext cx="7747235" cy="624688"/>
            <a:chOff x="1936317" y="1544289"/>
            <a:chExt cx="7745433" cy="625291"/>
          </a:xfrm>
        </xdr:grpSpPr>
        <xdr:sp macro="" textlink="">
          <xdr:nvSpPr>
            <xdr:cNvPr id="47" name="Misc">
              <a:hlinkClick xmlns:r="http://schemas.openxmlformats.org/officeDocument/2006/relationships" r:id="rId3" tooltip="Miscellaneous"/>
              <a:extLst>
                <a:ext uri="{FF2B5EF4-FFF2-40B4-BE49-F238E27FC236}">
                  <a16:creationId xmlns:a16="http://schemas.microsoft.com/office/drawing/2014/main" id="{00000000-0008-0000-3D00-00002F000000}"/>
                </a:ext>
              </a:extLst>
            </xdr:cNvPr>
            <xdr:cNvSpPr/>
          </xdr:nvSpPr>
          <xdr:spPr>
            <a:xfrm>
              <a:off x="8390833" y="1577788"/>
              <a:ext cx="1290917" cy="5917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WHFS">
              <a:hlinkClick xmlns:r="http://schemas.openxmlformats.org/officeDocument/2006/relationships" r:id="rId4" tooltip="Water Heating / Food Services"/>
              <a:extLst>
                <a:ext uri="{FF2B5EF4-FFF2-40B4-BE49-F238E27FC236}">
                  <a16:creationId xmlns:a16="http://schemas.microsoft.com/office/drawing/2014/main" id="{00000000-0008-0000-3D00-00002E000000}"/>
                </a:ext>
              </a:extLst>
            </xdr:cNvPr>
            <xdr:cNvSpPr/>
          </xdr:nvSpPr>
          <xdr:spPr>
            <a:xfrm>
              <a:off x="7099929" y="1577788"/>
              <a:ext cx="1290918" cy="5917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Refrigeration">
              <a:hlinkClick xmlns:r="http://schemas.openxmlformats.org/officeDocument/2006/relationships" r:id="rId5" tooltip="Refrigeration"/>
              <a:extLst>
                <a:ext uri="{FF2B5EF4-FFF2-40B4-BE49-F238E27FC236}">
                  <a16:creationId xmlns:a16="http://schemas.microsoft.com/office/drawing/2014/main" id="{00000000-0008-0000-3D00-00002D000000}"/>
                </a:ext>
              </a:extLst>
            </xdr:cNvPr>
            <xdr:cNvSpPr/>
          </xdr:nvSpPr>
          <xdr:spPr>
            <a:xfrm>
              <a:off x="5809025" y="1544289"/>
              <a:ext cx="1290918" cy="6252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AP">
              <a:hlinkClick xmlns:r="http://schemas.openxmlformats.org/officeDocument/2006/relationships" r:id="rId6" tooltip="Compressed Air / Process"/>
              <a:extLst>
                <a:ext uri="{FF2B5EF4-FFF2-40B4-BE49-F238E27FC236}">
                  <a16:creationId xmlns:a16="http://schemas.microsoft.com/office/drawing/2014/main" id="{00000000-0008-0000-3D00-00002C000000}"/>
                </a:ext>
              </a:extLst>
            </xdr:cNvPr>
            <xdr:cNvSpPr/>
          </xdr:nvSpPr>
          <xdr:spPr>
            <a:xfrm>
              <a:off x="4518122" y="1577787"/>
              <a:ext cx="1290918" cy="5917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MD">
              <a:hlinkClick xmlns:r="http://schemas.openxmlformats.org/officeDocument/2006/relationships" r:id="rId7" tooltip="Motors and Drives"/>
              <a:extLst>
                <a:ext uri="{FF2B5EF4-FFF2-40B4-BE49-F238E27FC236}">
                  <a16:creationId xmlns:a16="http://schemas.microsoft.com/office/drawing/2014/main" id="{00000000-0008-0000-3D00-00002B000000}"/>
                </a:ext>
              </a:extLst>
            </xdr:cNvPr>
            <xdr:cNvSpPr/>
          </xdr:nvSpPr>
          <xdr:spPr>
            <a:xfrm>
              <a:off x="3227219" y="1577787"/>
              <a:ext cx="1290917" cy="5917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HVAC">
              <a:hlinkClick xmlns:r="http://schemas.openxmlformats.org/officeDocument/2006/relationships" r:id="rId8" tooltip="HVAC"/>
              <a:extLst>
                <a:ext uri="{FF2B5EF4-FFF2-40B4-BE49-F238E27FC236}">
                  <a16:creationId xmlns:a16="http://schemas.microsoft.com/office/drawing/2014/main" id="{00000000-0008-0000-3D00-00002A000000}"/>
                </a:ext>
              </a:extLst>
            </xdr:cNvPr>
            <xdr:cNvSpPr/>
          </xdr:nvSpPr>
          <xdr:spPr>
            <a:xfrm>
              <a:off x="1936317" y="1577788"/>
              <a:ext cx="1290916" cy="5917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4" name="Dividers">
            <a:extLst>
              <a:ext uri="{FF2B5EF4-FFF2-40B4-BE49-F238E27FC236}">
                <a16:creationId xmlns:a16="http://schemas.microsoft.com/office/drawing/2014/main" id="{00000000-0008-0000-3D00-000004000000}"/>
              </a:ext>
            </a:extLst>
          </xdr:cNvPr>
          <xdr:cNvGrpSpPr/>
        </xdr:nvGrpSpPr>
        <xdr:grpSpPr>
          <a:xfrm>
            <a:off x="1936376" y="1564581"/>
            <a:ext cx="7745506" cy="507683"/>
            <a:chOff x="1936376" y="1564602"/>
            <a:chExt cx="7743899" cy="507691"/>
          </a:xfrm>
        </xdr:grpSpPr>
        <xdr:cxnSp macro="">
          <xdr:nvCxnSpPr>
            <xdr:cNvPr id="48" name="Divider 7">
              <a:extLst>
                <a:ext uri="{FF2B5EF4-FFF2-40B4-BE49-F238E27FC236}">
                  <a16:creationId xmlns:a16="http://schemas.microsoft.com/office/drawing/2014/main" id="{00000000-0008-0000-3D00-000030000000}"/>
                </a:ext>
              </a:extLst>
            </xdr:cNvPr>
            <xdr:cNvCxnSpPr/>
          </xdr:nvCxnSpPr>
          <xdr:spPr>
            <a:xfrm>
              <a:off x="9680275" y="1578336"/>
              <a:ext cx="0" cy="4894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6">
              <a:extLst>
                <a:ext uri="{FF2B5EF4-FFF2-40B4-BE49-F238E27FC236}">
                  <a16:creationId xmlns:a16="http://schemas.microsoft.com/office/drawing/2014/main" id="{00000000-0008-0000-3D00-000029000000}"/>
                </a:ext>
              </a:extLst>
            </xdr:cNvPr>
            <xdr:cNvCxnSpPr/>
          </xdr:nvCxnSpPr>
          <xdr:spPr>
            <a:xfrm>
              <a:off x="8389625" y="1571873"/>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5">
              <a:extLst>
                <a:ext uri="{FF2B5EF4-FFF2-40B4-BE49-F238E27FC236}">
                  <a16:creationId xmlns:a16="http://schemas.microsoft.com/office/drawing/2014/main" id="{00000000-0008-0000-3D00-000027000000}"/>
                </a:ext>
              </a:extLst>
            </xdr:cNvPr>
            <xdr:cNvCxnSpPr/>
          </xdr:nvCxnSpPr>
          <xdr:spPr>
            <a:xfrm>
              <a:off x="7098975" y="1578336"/>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4">
              <a:extLst>
                <a:ext uri="{FF2B5EF4-FFF2-40B4-BE49-F238E27FC236}">
                  <a16:creationId xmlns:a16="http://schemas.microsoft.com/office/drawing/2014/main" id="{00000000-0008-0000-3D00-000028000000}"/>
                </a:ext>
              </a:extLst>
            </xdr:cNvPr>
            <xdr:cNvCxnSpPr/>
          </xdr:nvCxnSpPr>
          <xdr:spPr>
            <a:xfrm>
              <a:off x="5807298" y="1564602"/>
              <a:ext cx="0" cy="4894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3">
              <a:extLst>
                <a:ext uri="{FF2B5EF4-FFF2-40B4-BE49-F238E27FC236}">
                  <a16:creationId xmlns:a16="http://schemas.microsoft.com/office/drawing/2014/main" id="{00000000-0008-0000-3D00-000026000000}"/>
                </a:ext>
              </a:extLst>
            </xdr:cNvPr>
            <xdr:cNvCxnSpPr/>
          </xdr:nvCxnSpPr>
          <xdr:spPr>
            <a:xfrm>
              <a:off x="4524731" y="1578337"/>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2">
              <a:extLst>
                <a:ext uri="{FF2B5EF4-FFF2-40B4-BE49-F238E27FC236}">
                  <a16:creationId xmlns:a16="http://schemas.microsoft.com/office/drawing/2014/main" id="{00000000-0008-0000-3D00-000025000000}"/>
                </a:ext>
              </a:extLst>
            </xdr:cNvPr>
            <xdr:cNvCxnSpPr/>
          </xdr:nvCxnSpPr>
          <xdr:spPr>
            <a:xfrm>
              <a:off x="3224036" y="1578337"/>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a:extLst>
                <a:ext uri="{FF2B5EF4-FFF2-40B4-BE49-F238E27FC236}">
                  <a16:creationId xmlns:a16="http://schemas.microsoft.com/office/drawing/2014/main" id="{00000000-0008-0000-3D00-000024000000}"/>
                </a:ext>
              </a:extLst>
            </xdr:cNvPr>
            <xdr:cNvCxnSpPr/>
          </xdr:nvCxnSpPr>
          <xdr:spPr>
            <a:xfrm>
              <a:off x="1936376" y="1578337"/>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6</xdr:col>
      <xdr:colOff>0</xdr:colOff>
      <xdr:row>3</xdr:row>
      <xdr:rowOff>815</xdr:rowOff>
    </xdr:from>
    <xdr:to>
      <xdr:col>41</xdr:col>
      <xdr:colOff>223215</xdr:colOff>
      <xdr:row>8</xdr:row>
      <xdr:rowOff>0</xdr:rowOff>
    </xdr:to>
    <xdr:grpSp>
      <xdr:nvGrpSpPr>
        <xdr:cNvPr id="2" name="Navigation">
          <a:extLst>
            <a:ext uri="{FF2B5EF4-FFF2-40B4-BE49-F238E27FC236}">
              <a16:creationId xmlns:a16="http://schemas.microsoft.com/office/drawing/2014/main" id="{00000000-0008-0000-3D00-000002000000}"/>
            </a:ext>
          </a:extLst>
        </xdr:cNvPr>
        <xdr:cNvGrpSpPr/>
      </xdr:nvGrpSpPr>
      <xdr:grpSpPr>
        <a:xfrm>
          <a:off x="1882588" y="605933"/>
          <a:ext cx="11204980" cy="1007714"/>
          <a:chOff x="1576553" y="592282"/>
          <a:chExt cx="11373937" cy="986117"/>
        </a:xfrm>
      </xdr:grpSpPr>
      <xdr:cxnSp macro="">
        <xdr:nvCxnSpPr>
          <xdr:cNvPr id="3" name="Reference">
            <a:extLst>
              <a:ext uri="{FF2B5EF4-FFF2-40B4-BE49-F238E27FC236}">
                <a16:creationId xmlns:a16="http://schemas.microsoft.com/office/drawing/2014/main" id="{00000000-0008-0000-3D00-000003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3" name="7: Project Review">
            <a:hlinkClick xmlns:r="http://schemas.openxmlformats.org/officeDocument/2006/relationships" r:id="rId9" tooltip="Project Review"/>
            <a:extLst>
              <a:ext uri="{FF2B5EF4-FFF2-40B4-BE49-F238E27FC236}">
                <a16:creationId xmlns:a16="http://schemas.microsoft.com/office/drawing/2014/main" id="{00000000-0008-0000-3D00-00000D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4" name="6: Payment">
            <a:hlinkClick xmlns:r="http://schemas.openxmlformats.org/officeDocument/2006/relationships" r:id="rId10" tooltip="Payment"/>
            <a:extLst>
              <a:ext uri="{FF2B5EF4-FFF2-40B4-BE49-F238E27FC236}">
                <a16:creationId xmlns:a16="http://schemas.microsoft.com/office/drawing/2014/main" id="{00000000-0008-0000-3D00-00000E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5" name="5: Equipment Input">
            <a:hlinkClick xmlns:r="http://schemas.openxmlformats.org/officeDocument/2006/relationships" r:id="rId11" tooltip="Equipment Input"/>
            <a:extLst>
              <a:ext uri="{FF2B5EF4-FFF2-40B4-BE49-F238E27FC236}">
                <a16:creationId xmlns:a16="http://schemas.microsoft.com/office/drawing/2014/main" id="{00000000-0008-0000-3D00-00000F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6" name="4: DTM">
            <a:hlinkClick xmlns:r="http://schemas.openxmlformats.org/officeDocument/2006/relationships" r:id="rId12" tooltip="Building Information"/>
            <a:extLst>
              <a:ext uri="{FF2B5EF4-FFF2-40B4-BE49-F238E27FC236}">
                <a16:creationId xmlns:a16="http://schemas.microsoft.com/office/drawing/2014/main" id="{00000000-0008-0000-3D00-000010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7" name="3: Customer/Bldg Info">
            <a:hlinkClick xmlns:r="http://schemas.openxmlformats.org/officeDocument/2006/relationships" r:id="rId13" tooltip="Customer Information"/>
            <a:extLst>
              <a:ext uri="{FF2B5EF4-FFF2-40B4-BE49-F238E27FC236}">
                <a16:creationId xmlns:a16="http://schemas.microsoft.com/office/drawing/2014/main" id="{00000000-0008-0000-3D00-000011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8" name="2: Design Team">
            <a:hlinkClick xmlns:r="http://schemas.openxmlformats.org/officeDocument/2006/relationships" r:id="rId14" tooltip="Trade Ally/Vendor Information"/>
            <a:extLst>
              <a:ext uri="{FF2B5EF4-FFF2-40B4-BE49-F238E27FC236}">
                <a16:creationId xmlns:a16="http://schemas.microsoft.com/office/drawing/2014/main" id="{00000000-0008-0000-3D00-000012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9" name="1: T&amp;C's">
            <a:hlinkClick xmlns:r="http://schemas.openxmlformats.org/officeDocument/2006/relationships" r:id="rId15" tooltip="Terms &amp; Conditions"/>
            <a:extLst>
              <a:ext uri="{FF2B5EF4-FFF2-40B4-BE49-F238E27FC236}">
                <a16:creationId xmlns:a16="http://schemas.microsoft.com/office/drawing/2014/main" id="{00000000-0008-0000-3D00-000013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6" name="Header">
          <a:extLst>
            <a:ext uri="{FF2B5EF4-FFF2-40B4-BE49-F238E27FC236}">
              <a16:creationId xmlns:a16="http://schemas.microsoft.com/office/drawing/2014/main" id="{00000000-0008-0000-3D00-000006000000}"/>
            </a:ext>
          </a:extLst>
        </xdr:cNvPr>
        <xdr:cNvGrpSpPr/>
      </xdr:nvGrpSpPr>
      <xdr:grpSpPr>
        <a:xfrm>
          <a:off x="0" y="0"/>
          <a:ext cx="15374471" cy="605118"/>
          <a:chOff x="0" y="0"/>
          <a:chExt cx="15822705" cy="591825"/>
        </a:xfrm>
      </xdr:grpSpPr>
      <xdr:grpSp>
        <xdr:nvGrpSpPr>
          <xdr:cNvPr id="8" name="Header">
            <a:extLst>
              <a:ext uri="{FF2B5EF4-FFF2-40B4-BE49-F238E27FC236}">
                <a16:creationId xmlns:a16="http://schemas.microsoft.com/office/drawing/2014/main" id="{00000000-0008-0000-3D00-000008000000}"/>
              </a:ext>
            </a:extLst>
          </xdr:cNvPr>
          <xdr:cNvGrpSpPr/>
        </xdr:nvGrpSpPr>
        <xdr:grpSpPr>
          <a:xfrm>
            <a:off x="0" y="0"/>
            <a:ext cx="15822705" cy="591825"/>
            <a:chOff x="0" y="0"/>
            <a:chExt cx="15822705" cy="591825"/>
          </a:xfrm>
        </xdr:grpSpPr>
        <xdr:sp macro="" textlink="">
          <xdr:nvSpPr>
            <xdr:cNvPr id="23" name="Reference">
              <a:extLst>
                <a:ext uri="{FF2B5EF4-FFF2-40B4-BE49-F238E27FC236}">
                  <a16:creationId xmlns:a16="http://schemas.microsoft.com/office/drawing/2014/main" id="{00000000-0008-0000-3D00-000017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Contact">
              <a:hlinkClick xmlns:r="http://schemas.openxmlformats.org/officeDocument/2006/relationships" r:id="rId16" tooltip="Contact"/>
              <a:extLst>
                <a:ext uri="{FF2B5EF4-FFF2-40B4-BE49-F238E27FC236}">
                  <a16:creationId xmlns:a16="http://schemas.microsoft.com/office/drawing/2014/main" id="{00000000-0008-0000-3D00-000018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Completion">
              <a:hlinkClick xmlns:r="http://schemas.openxmlformats.org/officeDocument/2006/relationships" r:id="rId17" tooltip=" "/>
              <a:extLst>
                <a:ext uri="{FF2B5EF4-FFF2-40B4-BE49-F238E27FC236}">
                  <a16:creationId xmlns:a16="http://schemas.microsoft.com/office/drawing/2014/main" id="{00000000-0008-0000-3D00-000019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Offer">
              <a:hlinkClick xmlns:r="http://schemas.openxmlformats.org/officeDocument/2006/relationships" r:id="rId18" tooltip=" "/>
              <a:extLst>
                <a:ext uri="{FF2B5EF4-FFF2-40B4-BE49-F238E27FC236}">
                  <a16:creationId xmlns:a16="http://schemas.microsoft.com/office/drawing/2014/main" id="{00000000-0008-0000-3D00-00001A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Instructions">
              <a:hlinkClick xmlns:r="http://schemas.openxmlformats.org/officeDocument/2006/relationships" r:id="rId19" tooltip="Instructions"/>
              <a:extLst>
                <a:ext uri="{FF2B5EF4-FFF2-40B4-BE49-F238E27FC236}">
                  <a16:creationId xmlns:a16="http://schemas.microsoft.com/office/drawing/2014/main" id="{00000000-0008-0000-3D00-00001B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Welcome">
              <a:hlinkClick xmlns:r="http://schemas.openxmlformats.org/officeDocument/2006/relationships" r:id="rId20" tooltip="Welcome"/>
              <a:extLst>
                <a:ext uri="{FF2B5EF4-FFF2-40B4-BE49-F238E27FC236}">
                  <a16:creationId xmlns:a16="http://schemas.microsoft.com/office/drawing/2014/main" id="{00000000-0008-0000-3D00-00001C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9" name="Evergy Logo">
              <a:extLst>
                <a:ext uri="{FF2B5EF4-FFF2-40B4-BE49-F238E27FC236}">
                  <a16:creationId xmlns:a16="http://schemas.microsoft.com/office/drawing/2014/main" id="{00000000-0008-0000-3D00-00001D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9" name="Dividers">
            <a:extLst>
              <a:ext uri="{FF2B5EF4-FFF2-40B4-BE49-F238E27FC236}">
                <a16:creationId xmlns:a16="http://schemas.microsoft.com/office/drawing/2014/main" id="{00000000-0008-0000-3D00-000009000000}"/>
              </a:ext>
            </a:extLst>
          </xdr:cNvPr>
          <xdr:cNvGrpSpPr/>
        </xdr:nvGrpSpPr>
        <xdr:grpSpPr>
          <a:xfrm>
            <a:off x="1615312" y="85571"/>
            <a:ext cx="12926000" cy="423176"/>
            <a:chOff x="1615312" y="85571"/>
            <a:chExt cx="12926000" cy="423176"/>
          </a:xfrm>
        </xdr:grpSpPr>
        <xdr:cxnSp macro="">
          <xdr:nvCxnSpPr>
            <xdr:cNvPr id="12" name="Divider 4">
              <a:extLst>
                <a:ext uri="{FF2B5EF4-FFF2-40B4-BE49-F238E27FC236}">
                  <a16:creationId xmlns:a16="http://schemas.microsoft.com/office/drawing/2014/main" id="{00000000-0008-0000-3D00-00000C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3">
              <a:extLst>
                <a:ext uri="{FF2B5EF4-FFF2-40B4-BE49-F238E27FC236}">
                  <a16:creationId xmlns:a16="http://schemas.microsoft.com/office/drawing/2014/main" id="{00000000-0008-0000-3D00-000014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2">
              <a:extLst>
                <a:ext uri="{FF2B5EF4-FFF2-40B4-BE49-F238E27FC236}">
                  <a16:creationId xmlns:a16="http://schemas.microsoft.com/office/drawing/2014/main" id="{00000000-0008-0000-3D00-000015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1">
              <a:extLst>
                <a:ext uri="{FF2B5EF4-FFF2-40B4-BE49-F238E27FC236}">
                  <a16:creationId xmlns:a16="http://schemas.microsoft.com/office/drawing/2014/main" id="{00000000-0008-0000-3D00-000016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212910</xdr:colOff>
      <xdr:row>8</xdr:row>
      <xdr:rowOff>100854</xdr:rowOff>
    </xdr:from>
    <xdr:to>
      <xdr:col>3</xdr:col>
      <xdr:colOff>112057</xdr:colOff>
      <xdr:row>10</xdr:row>
      <xdr:rowOff>108922</xdr:rowOff>
    </xdr:to>
    <xdr:sp macro="" textlink="">
      <xdr:nvSpPr>
        <xdr:cNvPr id="11" name="Arrow: Left N4S2">
          <a:hlinkClick xmlns:r="http://schemas.openxmlformats.org/officeDocument/2006/relationships" r:id="rId1" tooltip="Back: Motors and Drives"/>
          <a:extLst>
            <a:ext uri="{FF2B5EF4-FFF2-40B4-BE49-F238E27FC236}">
              <a16:creationId xmlns:a16="http://schemas.microsoft.com/office/drawing/2014/main" id="{00000000-0008-0000-3E00-00000B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42</xdr:col>
      <xdr:colOff>145676</xdr:colOff>
      <xdr:row>8</xdr:row>
      <xdr:rowOff>100854</xdr:rowOff>
    </xdr:from>
    <xdr:to>
      <xdr:col>44</xdr:col>
      <xdr:colOff>48499</xdr:colOff>
      <xdr:row>10</xdr:row>
      <xdr:rowOff>108922</xdr:rowOff>
    </xdr:to>
    <xdr:sp macro="" textlink="">
      <xdr:nvSpPr>
        <xdr:cNvPr id="12" name="Arrow: Right N4S4">
          <a:hlinkClick xmlns:r="http://schemas.openxmlformats.org/officeDocument/2006/relationships" r:id="rId2" tooltip="Forward: Refrigeration"/>
          <a:extLst>
            <a:ext uri="{FF2B5EF4-FFF2-40B4-BE49-F238E27FC236}">
              <a16:creationId xmlns:a16="http://schemas.microsoft.com/office/drawing/2014/main" id="{00000000-0008-0000-3E00-00000C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319644</xdr:colOff>
      <xdr:row>7</xdr:row>
      <xdr:rowOff>197002</xdr:rowOff>
    </xdr:from>
    <xdr:to>
      <xdr:col>30</xdr:col>
      <xdr:colOff>0</xdr:colOff>
      <xdr:row>11</xdr:row>
      <xdr:rowOff>1</xdr:rowOff>
    </xdr:to>
    <xdr:grpSp>
      <xdr:nvGrpSpPr>
        <xdr:cNvPr id="6" name="Measue Categories">
          <a:extLst>
            <a:ext uri="{FF2B5EF4-FFF2-40B4-BE49-F238E27FC236}">
              <a16:creationId xmlns:a16="http://schemas.microsoft.com/office/drawing/2014/main" id="{00000000-0008-0000-3E00-000006000000}"/>
            </a:ext>
          </a:extLst>
        </xdr:cNvPr>
        <xdr:cNvGrpSpPr/>
      </xdr:nvGrpSpPr>
      <xdr:grpSpPr>
        <a:xfrm>
          <a:off x="1878943" y="1608943"/>
          <a:ext cx="7533998" cy="609823"/>
          <a:chOff x="1933291" y="1577567"/>
          <a:chExt cx="7748591" cy="591893"/>
        </a:xfrm>
      </xdr:grpSpPr>
      <xdr:grpSp>
        <xdr:nvGrpSpPr>
          <xdr:cNvPr id="5" name="Categories">
            <a:extLst>
              <a:ext uri="{FF2B5EF4-FFF2-40B4-BE49-F238E27FC236}">
                <a16:creationId xmlns:a16="http://schemas.microsoft.com/office/drawing/2014/main" id="{00000000-0008-0000-3E00-000005000000}"/>
              </a:ext>
            </a:extLst>
          </xdr:cNvPr>
          <xdr:cNvGrpSpPr/>
        </xdr:nvGrpSpPr>
        <xdr:grpSpPr>
          <a:xfrm>
            <a:off x="1933291" y="1577788"/>
            <a:ext cx="7748591" cy="591672"/>
            <a:chOff x="1936268" y="1577786"/>
            <a:chExt cx="7745378" cy="591625"/>
          </a:xfrm>
        </xdr:grpSpPr>
        <xdr:sp macro="" textlink="">
          <xdr:nvSpPr>
            <xdr:cNvPr id="47" name="Misc">
              <a:hlinkClick xmlns:r="http://schemas.openxmlformats.org/officeDocument/2006/relationships" r:id="rId3" tooltip="Miscellaneous"/>
              <a:extLst>
                <a:ext uri="{FF2B5EF4-FFF2-40B4-BE49-F238E27FC236}">
                  <a16:creationId xmlns:a16="http://schemas.microsoft.com/office/drawing/2014/main" id="{00000000-0008-0000-3E00-00002F000000}"/>
                </a:ext>
              </a:extLst>
            </xdr:cNvPr>
            <xdr:cNvSpPr/>
          </xdr:nvSpPr>
          <xdr:spPr>
            <a:xfrm>
              <a:off x="8390729" y="1577787"/>
              <a:ext cx="1290917" cy="591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WHFS">
              <a:hlinkClick xmlns:r="http://schemas.openxmlformats.org/officeDocument/2006/relationships" r:id="rId4" tooltip="Water Heating / Food Services"/>
              <a:extLst>
                <a:ext uri="{FF2B5EF4-FFF2-40B4-BE49-F238E27FC236}">
                  <a16:creationId xmlns:a16="http://schemas.microsoft.com/office/drawing/2014/main" id="{00000000-0008-0000-3E00-00002E000000}"/>
                </a:ext>
              </a:extLst>
            </xdr:cNvPr>
            <xdr:cNvSpPr/>
          </xdr:nvSpPr>
          <xdr:spPr>
            <a:xfrm>
              <a:off x="7099862" y="1577787"/>
              <a:ext cx="1290893" cy="591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Refrigeration">
              <a:hlinkClick xmlns:r="http://schemas.openxmlformats.org/officeDocument/2006/relationships" r:id="rId5" tooltip="Refrigeration"/>
              <a:extLst>
                <a:ext uri="{FF2B5EF4-FFF2-40B4-BE49-F238E27FC236}">
                  <a16:creationId xmlns:a16="http://schemas.microsoft.com/office/drawing/2014/main" id="{00000000-0008-0000-3E00-00002D000000}"/>
                </a:ext>
              </a:extLst>
            </xdr:cNvPr>
            <xdr:cNvSpPr/>
          </xdr:nvSpPr>
          <xdr:spPr>
            <a:xfrm>
              <a:off x="5808943" y="1577787"/>
              <a:ext cx="1290918" cy="591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AP">
              <a:hlinkClick xmlns:r="http://schemas.openxmlformats.org/officeDocument/2006/relationships" r:id="rId6" tooltip="Compressed Air / Process"/>
              <a:extLst>
                <a:ext uri="{FF2B5EF4-FFF2-40B4-BE49-F238E27FC236}">
                  <a16:creationId xmlns:a16="http://schemas.microsoft.com/office/drawing/2014/main" id="{00000000-0008-0000-3E00-00002C000000}"/>
                </a:ext>
              </a:extLst>
            </xdr:cNvPr>
            <xdr:cNvSpPr/>
          </xdr:nvSpPr>
          <xdr:spPr>
            <a:xfrm>
              <a:off x="4504124" y="1577786"/>
              <a:ext cx="1304845" cy="591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MD">
              <a:hlinkClick xmlns:r="http://schemas.openxmlformats.org/officeDocument/2006/relationships" r:id="rId7" tooltip="Motors and Drives"/>
              <a:extLst>
                <a:ext uri="{FF2B5EF4-FFF2-40B4-BE49-F238E27FC236}">
                  <a16:creationId xmlns:a16="http://schemas.microsoft.com/office/drawing/2014/main" id="{00000000-0008-0000-3E00-00002B000000}"/>
                </a:ext>
              </a:extLst>
            </xdr:cNvPr>
            <xdr:cNvSpPr/>
          </xdr:nvSpPr>
          <xdr:spPr>
            <a:xfrm>
              <a:off x="3227160" y="1577787"/>
              <a:ext cx="1290917" cy="591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HVAC">
              <a:hlinkClick xmlns:r="http://schemas.openxmlformats.org/officeDocument/2006/relationships" r:id="rId8" tooltip="HVAC"/>
              <a:extLst>
                <a:ext uri="{FF2B5EF4-FFF2-40B4-BE49-F238E27FC236}">
                  <a16:creationId xmlns:a16="http://schemas.microsoft.com/office/drawing/2014/main" id="{00000000-0008-0000-3E00-00002A000000}"/>
                </a:ext>
              </a:extLst>
            </xdr:cNvPr>
            <xdr:cNvSpPr/>
          </xdr:nvSpPr>
          <xdr:spPr>
            <a:xfrm>
              <a:off x="1936268" y="1577788"/>
              <a:ext cx="1290917" cy="5916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4" name="Dividers">
            <a:extLst>
              <a:ext uri="{FF2B5EF4-FFF2-40B4-BE49-F238E27FC236}">
                <a16:creationId xmlns:a16="http://schemas.microsoft.com/office/drawing/2014/main" id="{00000000-0008-0000-3E00-000004000000}"/>
              </a:ext>
            </a:extLst>
          </xdr:cNvPr>
          <xdr:cNvGrpSpPr/>
        </xdr:nvGrpSpPr>
        <xdr:grpSpPr>
          <a:xfrm>
            <a:off x="1936376" y="1577567"/>
            <a:ext cx="7745506" cy="493978"/>
            <a:chOff x="1936376" y="1577578"/>
            <a:chExt cx="7742629" cy="493958"/>
          </a:xfrm>
        </xdr:grpSpPr>
        <xdr:cxnSp macro="">
          <xdr:nvCxnSpPr>
            <xdr:cNvPr id="48" name="Divider 7">
              <a:extLst>
                <a:ext uri="{FF2B5EF4-FFF2-40B4-BE49-F238E27FC236}">
                  <a16:creationId xmlns:a16="http://schemas.microsoft.com/office/drawing/2014/main" id="{00000000-0008-0000-3E00-000030000000}"/>
                </a:ext>
              </a:extLst>
            </xdr:cNvPr>
            <xdr:cNvCxnSpPr/>
          </xdr:nvCxnSpPr>
          <xdr:spPr>
            <a:xfrm>
              <a:off x="9679005" y="1577581"/>
              <a:ext cx="0" cy="4894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6">
              <a:extLst>
                <a:ext uri="{FF2B5EF4-FFF2-40B4-BE49-F238E27FC236}">
                  <a16:creationId xmlns:a16="http://schemas.microsoft.com/office/drawing/2014/main" id="{00000000-0008-0000-3E00-000029000000}"/>
                </a:ext>
              </a:extLst>
            </xdr:cNvPr>
            <xdr:cNvCxnSpPr/>
          </xdr:nvCxnSpPr>
          <xdr:spPr>
            <a:xfrm>
              <a:off x="8388567" y="1577580"/>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5">
              <a:extLst>
                <a:ext uri="{FF2B5EF4-FFF2-40B4-BE49-F238E27FC236}">
                  <a16:creationId xmlns:a16="http://schemas.microsoft.com/office/drawing/2014/main" id="{00000000-0008-0000-3E00-000027000000}"/>
                </a:ext>
              </a:extLst>
            </xdr:cNvPr>
            <xdr:cNvCxnSpPr/>
          </xdr:nvCxnSpPr>
          <xdr:spPr>
            <a:xfrm>
              <a:off x="7098128" y="1577580"/>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4">
              <a:extLst>
                <a:ext uri="{FF2B5EF4-FFF2-40B4-BE49-F238E27FC236}">
                  <a16:creationId xmlns:a16="http://schemas.microsoft.com/office/drawing/2014/main" id="{00000000-0008-0000-3E00-000028000000}"/>
                </a:ext>
              </a:extLst>
            </xdr:cNvPr>
            <xdr:cNvCxnSpPr/>
          </xdr:nvCxnSpPr>
          <xdr:spPr>
            <a:xfrm>
              <a:off x="5807690" y="1577578"/>
              <a:ext cx="0" cy="4894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3">
              <a:extLst>
                <a:ext uri="{FF2B5EF4-FFF2-40B4-BE49-F238E27FC236}">
                  <a16:creationId xmlns:a16="http://schemas.microsoft.com/office/drawing/2014/main" id="{00000000-0008-0000-3E00-000026000000}"/>
                </a:ext>
              </a:extLst>
            </xdr:cNvPr>
            <xdr:cNvCxnSpPr/>
          </xdr:nvCxnSpPr>
          <xdr:spPr>
            <a:xfrm>
              <a:off x="4517252" y="1577578"/>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2">
              <a:extLst>
                <a:ext uri="{FF2B5EF4-FFF2-40B4-BE49-F238E27FC236}">
                  <a16:creationId xmlns:a16="http://schemas.microsoft.com/office/drawing/2014/main" id="{00000000-0008-0000-3E00-000025000000}"/>
                </a:ext>
              </a:extLst>
            </xdr:cNvPr>
            <xdr:cNvCxnSpPr/>
          </xdr:nvCxnSpPr>
          <xdr:spPr>
            <a:xfrm>
              <a:off x="3226814" y="1577578"/>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a:extLst>
                <a:ext uri="{FF2B5EF4-FFF2-40B4-BE49-F238E27FC236}">
                  <a16:creationId xmlns:a16="http://schemas.microsoft.com/office/drawing/2014/main" id="{00000000-0008-0000-3E00-000024000000}"/>
                </a:ext>
              </a:extLst>
            </xdr:cNvPr>
            <xdr:cNvCxnSpPr/>
          </xdr:nvCxnSpPr>
          <xdr:spPr>
            <a:xfrm>
              <a:off x="1936376" y="1577578"/>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6</xdr:col>
      <xdr:colOff>0</xdr:colOff>
      <xdr:row>3</xdr:row>
      <xdr:rowOff>0</xdr:rowOff>
    </xdr:from>
    <xdr:to>
      <xdr:col>41</xdr:col>
      <xdr:colOff>223215</xdr:colOff>
      <xdr:row>7</xdr:row>
      <xdr:rowOff>196408</xdr:rowOff>
    </xdr:to>
    <xdr:grpSp>
      <xdr:nvGrpSpPr>
        <xdr:cNvPr id="2" name="Navigation">
          <a:extLst>
            <a:ext uri="{FF2B5EF4-FFF2-40B4-BE49-F238E27FC236}">
              <a16:creationId xmlns:a16="http://schemas.microsoft.com/office/drawing/2014/main" id="{00000000-0008-0000-3E00-000002000000}"/>
            </a:ext>
          </a:extLst>
        </xdr:cNvPr>
        <xdr:cNvGrpSpPr/>
      </xdr:nvGrpSpPr>
      <xdr:grpSpPr>
        <a:xfrm>
          <a:off x="1882588" y="605118"/>
          <a:ext cx="11204980" cy="1003231"/>
          <a:chOff x="1576553" y="592282"/>
          <a:chExt cx="11373937" cy="986117"/>
        </a:xfrm>
      </xdr:grpSpPr>
      <xdr:cxnSp macro="">
        <xdr:nvCxnSpPr>
          <xdr:cNvPr id="3" name="Reference">
            <a:extLst>
              <a:ext uri="{FF2B5EF4-FFF2-40B4-BE49-F238E27FC236}">
                <a16:creationId xmlns:a16="http://schemas.microsoft.com/office/drawing/2014/main" id="{00000000-0008-0000-3E00-000003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3" name="7: Project Review">
            <a:hlinkClick xmlns:r="http://schemas.openxmlformats.org/officeDocument/2006/relationships" r:id="rId9" tooltip="Project Review"/>
            <a:extLst>
              <a:ext uri="{FF2B5EF4-FFF2-40B4-BE49-F238E27FC236}">
                <a16:creationId xmlns:a16="http://schemas.microsoft.com/office/drawing/2014/main" id="{00000000-0008-0000-3E00-00000D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4" name="6: Payment">
            <a:hlinkClick xmlns:r="http://schemas.openxmlformats.org/officeDocument/2006/relationships" r:id="rId10" tooltip="Payment"/>
            <a:extLst>
              <a:ext uri="{FF2B5EF4-FFF2-40B4-BE49-F238E27FC236}">
                <a16:creationId xmlns:a16="http://schemas.microsoft.com/office/drawing/2014/main" id="{00000000-0008-0000-3E00-00000E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5" name="5: Equipment Input">
            <a:hlinkClick xmlns:r="http://schemas.openxmlformats.org/officeDocument/2006/relationships" r:id="rId11" tooltip="Equipment Input"/>
            <a:extLst>
              <a:ext uri="{FF2B5EF4-FFF2-40B4-BE49-F238E27FC236}">
                <a16:creationId xmlns:a16="http://schemas.microsoft.com/office/drawing/2014/main" id="{00000000-0008-0000-3E00-00000F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6" name="4: DTM">
            <a:hlinkClick xmlns:r="http://schemas.openxmlformats.org/officeDocument/2006/relationships" r:id="rId12" tooltip="Building Information"/>
            <a:extLst>
              <a:ext uri="{FF2B5EF4-FFF2-40B4-BE49-F238E27FC236}">
                <a16:creationId xmlns:a16="http://schemas.microsoft.com/office/drawing/2014/main" id="{00000000-0008-0000-3E00-000010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7" name="3: Customer/Bldg Info">
            <a:hlinkClick xmlns:r="http://schemas.openxmlformats.org/officeDocument/2006/relationships" r:id="rId13" tooltip="Customer Information"/>
            <a:extLst>
              <a:ext uri="{FF2B5EF4-FFF2-40B4-BE49-F238E27FC236}">
                <a16:creationId xmlns:a16="http://schemas.microsoft.com/office/drawing/2014/main" id="{00000000-0008-0000-3E00-000011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8" name="2: Design Team">
            <a:hlinkClick xmlns:r="http://schemas.openxmlformats.org/officeDocument/2006/relationships" r:id="rId14" tooltip="Trade Ally/Vendor Information"/>
            <a:extLst>
              <a:ext uri="{FF2B5EF4-FFF2-40B4-BE49-F238E27FC236}">
                <a16:creationId xmlns:a16="http://schemas.microsoft.com/office/drawing/2014/main" id="{00000000-0008-0000-3E00-000012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9" name="1: T&amp;C's">
            <a:hlinkClick xmlns:r="http://schemas.openxmlformats.org/officeDocument/2006/relationships" r:id="rId15" tooltip="Terms &amp; Conditions"/>
            <a:extLst>
              <a:ext uri="{FF2B5EF4-FFF2-40B4-BE49-F238E27FC236}">
                <a16:creationId xmlns:a16="http://schemas.microsoft.com/office/drawing/2014/main" id="{00000000-0008-0000-3E00-000013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7" name="Header">
          <a:extLst>
            <a:ext uri="{FF2B5EF4-FFF2-40B4-BE49-F238E27FC236}">
              <a16:creationId xmlns:a16="http://schemas.microsoft.com/office/drawing/2014/main" id="{00000000-0008-0000-3E00-000007000000}"/>
            </a:ext>
          </a:extLst>
        </xdr:cNvPr>
        <xdr:cNvGrpSpPr/>
      </xdr:nvGrpSpPr>
      <xdr:grpSpPr>
        <a:xfrm>
          <a:off x="0" y="0"/>
          <a:ext cx="15374471" cy="605118"/>
          <a:chOff x="0" y="0"/>
          <a:chExt cx="15822705" cy="591825"/>
        </a:xfrm>
      </xdr:grpSpPr>
      <xdr:grpSp>
        <xdr:nvGrpSpPr>
          <xdr:cNvPr id="8" name="Header">
            <a:extLst>
              <a:ext uri="{FF2B5EF4-FFF2-40B4-BE49-F238E27FC236}">
                <a16:creationId xmlns:a16="http://schemas.microsoft.com/office/drawing/2014/main" id="{00000000-0008-0000-3E00-000008000000}"/>
              </a:ext>
            </a:extLst>
          </xdr:cNvPr>
          <xdr:cNvGrpSpPr/>
        </xdr:nvGrpSpPr>
        <xdr:grpSpPr>
          <a:xfrm>
            <a:off x="0" y="0"/>
            <a:ext cx="15822705" cy="591825"/>
            <a:chOff x="0" y="0"/>
            <a:chExt cx="15822705" cy="591825"/>
          </a:xfrm>
        </xdr:grpSpPr>
        <xdr:sp macro="" textlink="">
          <xdr:nvSpPr>
            <xdr:cNvPr id="23" name="Reference">
              <a:extLst>
                <a:ext uri="{FF2B5EF4-FFF2-40B4-BE49-F238E27FC236}">
                  <a16:creationId xmlns:a16="http://schemas.microsoft.com/office/drawing/2014/main" id="{00000000-0008-0000-3E00-000017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Contact">
              <a:hlinkClick xmlns:r="http://schemas.openxmlformats.org/officeDocument/2006/relationships" r:id="rId16" tooltip="Contact"/>
              <a:extLst>
                <a:ext uri="{FF2B5EF4-FFF2-40B4-BE49-F238E27FC236}">
                  <a16:creationId xmlns:a16="http://schemas.microsoft.com/office/drawing/2014/main" id="{00000000-0008-0000-3E00-000018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Completion">
              <a:hlinkClick xmlns:r="http://schemas.openxmlformats.org/officeDocument/2006/relationships" r:id="rId17" tooltip=" "/>
              <a:extLst>
                <a:ext uri="{FF2B5EF4-FFF2-40B4-BE49-F238E27FC236}">
                  <a16:creationId xmlns:a16="http://schemas.microsoft.com/office/drawing/2014/main" id="{00000000-0008-0000-3E00-000019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Offer">
              <a:hlinkClick xmlns:r="http://schemas.openxmlformats.org/officeDocument/2006/relationships" r:id="rId18" tooltip=" "/>
              <a:extLst>
                <a:ext uri="{FF2B5EF4-FFF2-40B4-BE49-F238E27FC236}">
                  <a16:creationId xmlns:a16="http://schemas.microsoft.com/office/drawing/2014/main" id="{00000000-0008-0000-3E00-00001A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Instructions">
              <a:hlinkClick xmlns:r="http://schemas.openxmlformats.org/officeDocument/2006/relationships" r:id="rId19" tooltip="Instructions"/>
              <a:extLst>
                <a:ext uri="{FF2B5EF4-FFF2-40B4-BE49-F238E27FC236}">
                  <a16:creationId xmlns:a16="http://schemas.microsoft.com/office/drawing/2014/main" id="{00000000-0008-0000-3E00-00001B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Welcome">
              <a:hlinkClick xmlns:r="http://schemas.openxmlformats.org/officeDocument/2006/relationships" r:id="rId20" tooltip="Welcome"/>
              <a:extLst>
                <a:ext uri="{FF2B5EF4-FFF2-40B4-BE49-F238E27FC236}">
                  <a16:creationId xmlns:a16="http://schemas.microsoft.com/office/drawing/2014/main" id="{00000000-0008-0000-3E00-00001C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9" name="Evergy Logo">
              <a:extLst>
                <a:ext uri="{FF2B5EF4-FFF2-40B4-BE49-F238E27FC236}">
                  <a16:creationId xmlns:a16="http://schemas.microsoft.com/office/drawing/2014/main" id="{00000000-0008-0000-3E00-00001D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9" name="Dividers">
            <a:extLst>
              <a:ext uri="{FF2B5EF4-FFF2-40B4-BE49-F238E27FC236}">
                <a16:creationId xmlns:a16="http://schemas.microsoft.com/office/drawing/2014/main" id="{00000000-0008-0000-3E00-000009000000}"/>
              </a:ext>
            </a:extLst>
          </xdr:cNvPr>
          <xdr:cNvGrpSpPr/>
        </xdr:nvGrpSpPr>
        <xdr:grpSpPr>
          <a:xfrm>
            <a:off x="1615312" y="85571"/>
            <a:ext cx="12926000" cy="423176"/>
            <a:chOff x="1615312" y="85571"/>
            <a:chExt cx="12926000" cy="423176"/>
          </a:xfrm>
        </xdr:grpSpPr>
        <xdr:cxnSp macro="">
          <xdr:nvCxnSpPr>
            <xdr:cNvPr id="10" name="Divider 4">
              <a:extLst>
                <a:ext uri="{FF2B5EF4-FFF2-40B4-BE49-F238E27FC236}">
                  <a16:creationId xmlns:a16="http://schemas.microsoft.com/office/drawing/2014/main" id="{00000000-0008-0000-3E00-00000A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3">
              <a:extLst>
                <a:ext uri="{FF2B5EF4-FFF2-40B4-BE49-F238E27FC236}">
                  <a16:creationId xmlns:a16="http://schemas.microsoft.com/office/drawing/2014/main" id="{00000000-0008-0000-3E00-000014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2">
              <a:extLst>
                <a:ext uri="{FF2B5EF4-FFF2-40B4-BE49-F238E27FC236}">
                  <a16:creationId xmlns:a16="http://schemas.microsoft.com/office/drawing/2014/main" id="{00000000-0008-0000-3E00-000015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1">
              <a:extLst>
                <a:ext uri="{FF2B5EF4-FFF2-40B4-BE49-F238E27FC236}">
                  <a16:creationId xmlns:a16="http://schemas.microsoft.com/office/drawing/2014/main" id="{00000000-0008-0000-3E00-000016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212910</xdr:colOff>
      <xdr:row>3</xdr:row>
      <xdr:rowOff>166857</xdr:rowOff>
    </xdr:from>
    <xdr:to>
      <xdr:col>3</xdr:col>
      <xdr:colOff>112057</xdr:colOff>
      <xdr:row>5</xdr:row>
      <xdr:rowOff>174925</xdr:rowOff>
    </xdr:to>
    <xdr:sp macro="" textlink="">
      <xdr:nvSpPr>
        <xdr:cNvPr id="3" name="Arrow: Left N1S1">
          <a:hlinkClick xmlns:r="http://schemas.openxmlformats.org/officeDocument/2006/relationships" r:id="rId1" tooltip="Back: Welcome"/>
          <a:extLst>
            <a:ext uri="{FF2B5EF4-FFF2-40B4-BE49-F238E27FC236}">
              <a16:creationId xmlns:a16="http://schemas.microsoft.com/office/drawing/2014/main" id="{00000000-0008-0000-2D00-000003000000}"/>
            </a:ext>
          </a:extLst>
        </xdr:cNvPr>
        <xdr:cNvSpPr/>
      </xdr:nvSpPr>
      <xdr:spPr>
        <a:xfrm>
          <a:off x="527235" y="766932"/>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39</xdr:col>
          <xdr:colOff>0</xdr:colOff>
          <xdr:row>10</xdr:row>
          <xdr:rowOff>190500</xdr:rowOff>
        </xdr:from>
        <xdr:to>
          <xdr:col>45</xdr:col>
          <xdr:colOff>0</xdr:colOff>
          <xdr:row>12</xdr:row>
          <xdr:rowOff>0</xdr:rowOff>
        </xdr:to>
        <xdr:sp macro="" textlink="">
          <xdr:nvSpPr>
            <xdr:cNvPr id="375809" name="Acknowledge" hidden="1">
              <a:extLst>
                <a:ext uri="{63B3BB69-23CF-44E3-9099-C40C66FF867C}">
                  <a14:compatExt spid="_x0000_s375809"/>
                </a:ext>
                <a:ext uri="{FF2B5EF4-FFF2-40B4-BE49-F238E27FC236}">
                  <a16:creationId xmlns:a16="http://schemas.microsoft.com/office/drawing/2014/main" id="{00000000-0008-0000-0A00-000001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 acknowledge the above statement.</a:t>
              </a:r>
            </a:p>
          </xdr:txBody>
        </xdr:sp>
        <xdr:clientData/>
      </xdr:twoCellAnchor>
    </mc:Choice>
    <mc:Fallback/>
  </mc:AlternateContent>
  <xdr:twoCellAnchor editAs="oneCell">
    <xdr:from>
      <xdr:col>38</xdr:col>
      <xdr:colOff>266700</xdr:colOff>
      <xdr:row>3</xdr:row>
      <xdr:rowOff>102871</xdr:rowOff>
    </xdr:from>
    <xdr:to>
      <xdr:col>44</xdr:col>
      <xdr:colOff>270016</xdr:colOff>
      <xdr:row>6</xdr:row>
      <xdr:rowOff>139738</xdr:rowOff>
    </xdr:to>
    <xdr:grpSp>
      <xdr:nvGrpSpPr>
        <xdr:cNvPr id="20" name="Start">
          <a:extLst>
            <a:ext uri="{FF2B5EF4-FFF2-40B4-BE49-F238E27FC236}">
              <a16:creationId xmlns:a16="http://schemas.microsoft.com/office/drawing/2014/main" id="{00000000-0008-0000-2D00-000014000000}"/>
            </a:ext>
          </a:extLst>
        </xdr:cNvPr>
        <xdr:cNvGrpSpPr/>
      </xdr:nvGrpSpPr>
      <xdr:grpSpPr>
        <a:xfrm>
          <a:off x="12189759" y="707989"/>
          <a:ext cx="1885904" cy="641984"/>
          <a:chOff x="12211050" y="702946"/>
          <a:chExt cx="1889266" cy="636942"/>
        </a:xfrm>
      </xdr:grpSpPr>
      <xdr:sp macro="" textlink="">
        <xdr:nvSpPr>
          <xdr:cNvPr id="4" name="Start">
            <a:extLst>
              <a:ext uri="{FF2B5EF4-FFF2-40B4-BE49-F238E27FC236}">
                <a16:creationId xmlns:a16="http://schemas.microsoft.com/office/drawing/2014/main" id="{00000000-0008-0000-2D00-000004000000}"/>
              </a:ext>
            </a:extLst>
          </xdr:cNvPr>
          <xdr:cNvSpPr/>
        </xdr:nvSpPr>
        <xdr:spPr>
          <a:xfrm>
            <a:off x="12213290" y="702946"/>
            <a:ext cx="1887026" cy="635038"/>
          </a:xfrm>
          <a:prstGeom prst="roundRect">
            <a:avLst>
              <a:gd name="adj" fmla="val 48870"/>
            </a:avLst>
          </a:prstGeom>
          <a:solidFill>
            <a:srgbClr val="317CC0"/>
          </a:solidFill>
          <a:ln w="28575">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START</a:t>
            </a:r>
          </a:p>
          <a:p>
            <a:pPr algn="l"/>
            <a:r>
              <a:rPr lang="en-US" sz="800" b="1">
                <a:latin typeface="Arial" panose="020B0604020202020204" pitchFamily="34" charset="0"/>
                <a:cs typeface="Arial" panose="020B0604020202020204" pitchFamily="34" charset="0"/>
              </a:rPr>
              <a:t>Read to Continue.</a:t>
            </a:r>
          </a:p>
        </xdr:txBody>
      </xdr:sp>
      <xdr:sp macro="" textlink="">
        <xdr:nvSpPr>
          <xdr:cNvPr id="5" name="Arrow: Right N1S2">
            <a:extLst>
              <a:ext uri="{FF2B5EF4-FFF2-40B4-BE49-F238E27FC236}">
                <a16:creationId xmlns:a16="http://schemas.microsoft.com/office/drawing/2014/main" id="{00000000-0008-0000-2D00-000005000000}"/>
              </a:ext>
            </a:extLst>
          </xdr:cNvPr>
          <xdr:cNvSpPr/>
        </xdr:nvSpPr>
        <xdr:spPr>
          <a:xfrm>
            <a:off x="13417127" y="801002"/>
            <a:ext cx="536176" cy="404138"/>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nk N2-S1">
            <a:hlinkClick xmlns:r="http://schemas.openxmlformats.org/officeDocument/2006/relationships" r:id="rId2"/>
            <a:extLst>
              <a:ext uri="{FF2B5EF4-FFF2-40B4-BE49-F238E27FC236}">
                <a16:creationId xmlns:a16="http://schemas.microsoft.com/office/drawing/2014/main" id="{00000000-0008-0000-2D00-00000E000000}"/>
              </a:ext>
            </a:extLst>
          </xdr:cNvPr>
          <xdr:cNvSpPr/>
        </xdr:nvSpPr>
        <xdr:spPr>
          <a:xfrm>
            <a:off x="12211050" y="704850"/>
            <a:ext cx="1885950" cy="635038"/>
          </a:xfrm>
          <a:prstGeom prst="roundRect">
            <a:avLst>
              <a:gd name="adj" fmla="val 48870"/>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endParaRPr lang="en-US" sz="800" b="1">
              <a:latin typeface="Arial" panose="020B0604020202020204" pitchFamily="34" charset="0"/>
              <a:cs typeface="Arial" panose="020B0604020202020204" pitchFamily="34" charset="0"/>
            </a:endParaRPr>
          </a:p>
        </xdr:txBody>
      </xdr:sp>
    </xdr:grpSp>
    <xdr:clientData/>
  </xdr:twoCellAnchor>
  <xdr:twoCellAnchor editAs="oneCell">
    <xdr:from>
      <xdr:col>5</xdr:col>
      <xdr:colOff>0</xdr:colOff>
      <xdr:row>3</xdr:row>
      <xdr:rowOff>119043</xdr:rowOff>
    </xdr:from>
    <xdr:to>
      <xdr:col>37</xdr:col>
      <xdr:colOff>0</xdr:colOff>
      <xdr:row>42</xdr:row>
      <xdr:rowOff>152400</xdr:rowOff>
    </xdr:to>
    <xdr:grpSp>
      <xdr:nvGrpSpPr>
        <xdr:cNvPr id="23" name="Instructions">
          <a:extLst>
            <a:ext uri="{FF2B5EF4-FFF2-40B4-BE49-F238E27FC236}">
              <a16:creationId xmlns:a16="http://schemas.microsoft.com/office/drawing/2014/main" id="{00000000-0008-0000-2D00-000017000000}"/>
            </a:ext>
          </a:extLst>
        </xdr:cNvPr>
        <xdr:cNvGrpSpPr/>
      </xdr:nvGrpSpPr>
      <xdr:grpSpPr>
        <a:xfrm>
          <a:off x="1568824" y="724161"/>
          <a:ext cx="10040470" cy="7899886"/>
          <a:chOff x="1613646" y="602499"/>
          <a:chExt cx="10327341" cy="7725074"/>
        </a:xfrm>
      </xdr:grpSpPr>
      <xdr:pic>
        <xdr:nvPicPr>
          <xdr:cNvPr id="22" name="Instructions">
            <a:extLst>
              <a:ext uri="{FF2B5EF4-FFF2-40B4-BE49-F238E27FC236}">
                <a16:creationId xmlns:a16="http://schemas.microsoft.com/office/drawing/2014/main" id="{00000000-0008-0000-2D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13646" y="602499"/>
            <a:ext cx="10327341" cy="7725074"/>
          </a:xfrm>
          <a:prstGeom prst="rect">
            <a:avLst/>
          </a:prstGeom>
        </xdr:spPr>
      </xdr:pic>
      <xdr:sp macro="" textlink="">
        <xdr:nvSpPr>
          <xdr:cNvPr id="19" name="Email">
            <a:hlinkClick xmlns:r="http://schemas.openxmlformats.org/officeDocument/2006/relationships" r:id="rId4"/>
            <a:extLst>
              <a:ext uri="{FF2B5EF4-FFF2-40B4-BE49-F238E27FC236}">
                <a16:creationId xmlns:a16="http://schemas.microsoft.com/office/drawing/2014/main" id="{00000000-0008-0000-2D00-000013000000}"/>
              </a:ext>
            </a:extLst>
          </xdr:cNvPr>
          <xdr:cNvSpPr/>
        </xdr:nvSpPr>
        <xdr:spPr>
          <a:xfrm>
            <a:off x="5710517" y="7846359"/>
            <a:ext cx="1962599" cy="221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63" name="Header">
          <a:extLst>
            <a:ext uri="{FF2B5EF4-FFF2-40B4-BE49-F238E27FC236}">
              <a16:creationId xmlns:a16="http://schemas.microsoft.com/office/drawing/2014/main" id="{00000000-0008-0000-2D00-00003F000000}"/>
            </a:ext>
          </a:extLst>
        </xdr:cNvPr>
        <xdr:cNvGrpSpPr/>
      </xdr:nvGrpSpPr>
      <xdr:grpSpPr>
        <a:xfrm>
          <a:off x="0" y="0"/>
          <a:ext cx="15374471" cy="605118"/>
          <a:chOff x="0" y="0"/>
          <a:chExt cx="15813740" cy="591825"/>
        </a:xfrm>
      </xdr:grpSpPr>
      <xdr:grpSp>
        <xdr:nvGrpSpPr>
          <xdr:cNvPr id="375808" name="Header">
            <a:extLst>
              <a:ext uri="{FF2B5EF4-FFF2-40B4-BE49-F238E27FC236}">
                <a16:creationId xmlns:a16="http://schemas.microsoft.com/office/drawing/2014/main" id="{00000000-0008-0000-2D00-000000BC0500}"/>
              </a:ext>
            </a:extLst>
          </xdr:cNvPr>
          <xdr:cNvGrpSpPr/>
        </xdr:nvGrpSpPr>
        <xdr:grpSpPr>
          <a:xfrm>
            <a:off x="0" y="0"/>
            <a:ext cx="15813740" cy="591825"/>
            <a:chOff x="0" y="0"/>
            <a:chExt cx="15813740" cy="591825"/>
          </a:xfrm>
        </xdr:grpSpPr>
        <xdr:sp macro="" textlink="">
          <xdr:nvSpPr>
            <xdr:cNvPr id="375815" name="Reference">
              <a:extLst>
                <a:ext uri="{FF2B5EF4-FFF2-40B4-BE49-F238E27FC236}">
                  <a16:creationId xmlns:a16="http://schemas.microsoft.com/office/drawing/2014/main" id="{00000000-0008-0000-2D00-000007BC05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5816" name="Contact">
              <a:hlinkClick xmlns:r="http://schemas.openxmlformats.org/officeDocument/2006/relationships" r:id="rId5" tooltip="Contact"/>
              <a:extLst>
                <a:ext uri="{FF2B5EF4-FFF2-40B4-BE49-F238E27FC236}">
                  <a16:creationId xmlns:a16="http://schemas.microsoft.com/office/drawing/2014/main" id="{00000000-0008-0000-2D00-000008BC0500}"/>
                </a:ext>
              </a:extLst>
            </xdr:cNvPr>
            <xdr:cNvSpPr/>
          </xdr:nvSpPr>
          <xdr:spPr>
            <a:xfrm>
              <a:off x="14522822"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5817" name="Completion">
              <a:hlinkClick xmlns:r="http://schemas.openxmlformats.org/officeDocument/2006/relationships" r:id="rId6" tooltip=" "/>
              <a:extLst>
                <a:ext uri="{FF2B5EF4-FFF2-40B4-BE49-F238E27FC236}">
                  <a16:creationId xmlns:a16="http://schemas.microsoft.com/office/drawing/2014/main" id="{00000000-0008-0000-2D00-000009BC0500}"/>
                </a:ext>
              </a:extLst>
            </xdr:cNvPr>
            <xdr:cNvSpPr/>
          </xdr:nvSpPr>
          <xdr:spPr>
            <a:xfrm>
              <a:off x="13231905"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5818" name="Offer">
              <a:hlinkClick xmlns:r="http://schemas.openxmlformats.org/officeDocument/2006/relationships" r:id="rId7" tooltip=" "/>
              <a:extLst>
                <a:ext uri="{FF2B5EF4-FFF2-40B4-BE49-F238E27FC236}">
                  <a16:creationId xmlns:a16="http://schemas.microsoft.com/office/drawing/2014/main" id="{00000000-0008-0000-2D00-00000ABC0500}"/>
                </a:ext>
              </a:extLst>
            </xdr:cNvPr>
            <xdr:cNvSpPr/>
          </xdr:nvSpPr>
          <xdr:spPr>
            <a:xfrm>
              <a:off x="11940988"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5819" name="Instructions">
              <a:hlinkClick xmlns:r="http://schemas.openxmlformats.org/officeDocument/2006/relationships" r:id="rId8" tooltip="Instructions"/>
              <a:extLst>
                <a:ext uri="{FF2B5EF4-FFF2-40B4-BE49-F238E27FC236}">
                  <a16:creationId xmlns:a16="http://schemas.microsoft.com/office/drawing/2014/main" id="{00000000-0008-0000-2D00-00000BBC05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5820" name="Welcome">
              <a:hlinkClick xmlns:r="http://schemas.openxmlformats.org/officeDocument/2006/relationships" r:id="rId1" tooltip="Welcome"/>
              <a:extLst>
                <a:ext uri="{FF2B5EF4-FFF2-40B4-BE49-F238E27FC236}">
                  <a16:creationId xmlns:a16="http://schemas.microsoft.com/office/drawing/2014/main" id="{00000000-0008-0000-2D00-00000CBC05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75821" name="Evergy Logo">
              <a:extLst>
                <a:ext uri="{FF2B5EF4-FFF2-40B4-BE49-F238E27FC236}">
                  <a16:creationId xmlns:a16="http://schemas.microsoft.com/office/drawing/2014/main" id="{00000000-0008-0000-2D00-00000DBC05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375810" name="Dividers">
            <a:extLst>
              <a:ext uri="{FF2B5EF4-FFF2-40B4-BE49-F238E27FC236}">
                <a16:creationId xmlns:a16="http://schemas.microsoft.com/office/drawing/2014/main" id="{00000000-0008-0000-2D00-000002BC0500}"/>
              </a:ext>
            </a:extLst>
          </xdr:cNvPr>
          <xdr:cNvGrpSpPr/>
        </xdr:nvGrpSpPr>
        <xdr:grpSpPr>
          <a:xfrm>
            <a:off x="1615312" y="85571"/>
            <a:ext cx="12917035" cy="423176"/>
            <a:chOff x="1615312" y="85571"/>
            <a:chExt cx="12917035" cy="423176"/>
          </a:xfrm>
        </xdr:grpSpPr>
        <xdr:cxnSp macro="">
          <xdr:nvCxnSpPr>
            <xdr:cNvPr id="375811" name="Divider 4">
              <a:extLst>
                <a:ext uri="{FF2B5EF4-FFF2-40B4-BE49-F238E27FC236}">
                  <a16:creationId xmlns:a16="http://schemas.microsoft.com/office/drawing/2014/main" id="{00000000-0008-0000-2D00-000003BC0500}"/>
                </a:ext>
              </a:extLst>
            </xdr:cNvPr>
            <xdr:cNvCxnSpPr/>
          </xdr:nvCxnSpPr>
          <xdr:spPr>
            <a:xfrm>
              <a:off x="14522822"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5812" name="Divider 3">
              <a:extLst>
                <a:ext uri="{FF2B5EF4-FFF2-40B4-BE49-F238E27FC236}">
                  <a16:creationId xmlns:a16="http://schemas.microsoft.com/office/drawing/2014/main" id="{00000000-0008-0000-2D00-000004BC05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5813" name="Divider 2">
              <a:extLst>
                <a:ext uri="{FF2B5EF4-FFF2-40B4-BE49-F238E27FC236}">
                  <a16:creationId xmlns:a16="http://schemas.microsoft.com/office/drawing/2014/main" id="{00000000-0008-0000-2D00-000005BC05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5814" name="Divider 1">
              <a:extLst>
                <a:ext uri="{FF2B5EF4-FFF2-40B4-BE49-F238E27FC236}">
                  <a16:creationId xmlns:a16="http://schemas.microsoft.com/office/drawing/2014/main" id="{00000000-0008-0000-2D00-000006BC05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oneCellAnchor>
    <xdr:from>
      <xdr:col>42</xdr:col>
      <xdr:colOff>145676</xdr:colOff>
      <xdr:row>8</xdr:row>
      <xdr:rowOff>100854</xdr:rowOff>
    </xdr:from>
    <xdr:ext cx="548282" cy="402515"/>
    <xdr:sp macro="" textlink="">
      <xdr:nvSpPr>
        <xdr:cNvPr id="11" name="Arrow: Right N4S5">
          <a:hlinkClick xmlns:r="http://schemas.openxmlformats.org/officeDocument/2006/relationships" r:id="rId1" tooltip="Forward: Water Heating / Food Services"/>
          <a:extLst>
            <a:ext uri="{FF2B5EF4-FFF2-40B4-BE49-F238E27FC236}">
              <a16:creationId xmlns:a16="http://schemas.microsoft.com/office/drawing/2014/main" id="{00000000-0008-0000-3F00-00000B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212910</xdr:colOff>
      <xdr:row>8</xdr:row>
      <xdr:rowOff>100854</xdr:rowOff>
    </xdr:from>
    <xdr:ext cx="544606" cy="402515"/>
    <xdr:sp macro="" textlink="">
      <xdr:nvSpPr>
        <xdr:cNvPr id="10" name="Arrow: Left N4S3">
          <a:hlinkClick xmlns:r="http://schemas.openxmlformats.org/officeDocument/2006/relationships" r:id="rId2" tooltip="Back: Compressed Air / Process"/>
          <a:extLst>
            <a:ext uri="{FF2B5EF4-FFF2-40B4-BE49-F238E27FC236}">
              <a16:creationId xmlns:a16="http://schemas.microsoft.com/office/drawing/2014/main" id="{00000000-0008-0000-3F00-00000A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6</xdr:col>
      <xdr:colOff>0</xdr:colOff>
      <xdr:row>8</xdr:row>
      <xdr:rowOff>0</xdr:rowOff>
    </xdr:from>
    <xdr:ext cx="7745506" cy="591671"/>
    <xdr:grpSp>
      <xdr:nvGrpSpPr>
        <xdr:cNvPr id="18" name="Measure Categories">
          <a:extLst>
            <a:ext uri="{FF2B5EF4-FFF2-40B4-BE49-F238E27FC236}">
              <a16:creationId xmlns:a16="http://schemas.microsoft.com/office/drawing/2014/main" id="{00000000-0008-0000-3F00-000012000000}"/>
            </a:ext>
          </a:extLst>
        </xdr:cNvPr>
        <xdr:cNvGrpSpPr/>
      </xdr:nvGrpSpPr>
      <xdr:grpSpPr>
        <a:xfrm>
          <a:off x="1882588" y="1613647"/>
          <a:ext cx="7745506" cy="591671"/>
          <a:chOff x="1918010" y="1576039"/>
          <a:chExt cx="7672039" cy="591015"/>
        </a:xfrm>
      </xdr:grpSpPr>
      <xdr:grpSp>
        <xdr:nvGrpSpPr>
          <xdr:cNvPr id="17" name="Categories">
            <a:extLst>
              <a:ext uri="{FF2B5EF4-FFF2-40B4-BE49-F238E27FC236}">
                <a16:creationId xmlns:a16="http://schemas.microsoft.com/office/drawing/2014/main" id="{00000000-0008-0000-3F00-000011000000}"/>
              </a:ext>
            </a:extLst>
          </xdr:cNvPr>
          <xdr:cNvGrpSpPr/>
        </xdr:nvGrpSpPr>
        <xdr:grpSpPr>
          <a:xfrm>
            <a:off x="1918011" y="1576039"/>
            <a:ext cx="7672038" cy="591015"/>
            <a:chOff x="1918011" y="1576039"/>
            <a:chExt cx="7672038" cy="591015"/>
          </a:xfrm>
        </xdr:grpSpPr>
        <xdr:sp macro="" textlink="">
          <xdr:nvSpPr>
            <xdr:cNvPr id="33" name="Misc">
              <a:hlinkClick xmlns:r="http://schemas.openxmlformats.org/officeDocument/2006/relationships" r:id="rId3" tooltip="Miscellaneous"/>
              <a:extLst>
                <a:ext uri="{FF2B5EF4-FFF2-40B4-BE49-F238E27FC236}">
                  <a16:creationId xmlns:a16="http://schemas.microsoft.com/office/drawing/2014/main" id="{00000000-0008-0000-3F00-000021000000}"/>
                </a:ext>
              </a:extLst>
            </xdr:cNvPr>
            <xdr:cNvSpPr/>
          </xdr:nvSpPr>
          <xdr:spPr>
            <a:xfrm>
              <a:off x="8311376" y="1576039"/>
              <a:ext cx="1278673" cy="591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WHFS">
              <a:hlinkClick xmlns:r="http://schemas.openxmlformats.org/officeDocument/2006/relationships" r:id="rId4" tooltip="Water Heating / Food Services"/>
              <a:extLst>
                <a:ext uri="{FF2B5EF4-FFF2-40B4-BE49-F238E27FC236}">
                  <a16:creationId xmlns:a16="http://schemas.microsoft.com/office/drawing/2014/main" id="{00000000-0008-0000-3F00-000020000000}"/>
                </a:ext>
              </a:extLst>
            </xdr:cNvPr>
            <xdr:cNvSpPr/>
          </xdr:nvSpPr>
          <xdr:spPr>
            <a:xfrm>
              <a:off x="7032702" y="1576039"/>
              <a:ext cx="1278674" cy="591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Refrigeration">
              <a:hlinkClick xmlns:r="http://schemas.openxmlformats.org/officeDocument/2006/relationships" r:id="rId5" tooltip="Refrigeration"/>
              <a:extLst>
                <a:ext uri="{FF2B5EF4-FFF2-40B4-BE49-F238E27FC236}">
                  <a16:creationId xmlns:a16="http://schemas.microsoft.com/office/drawing/2014/main" id="{00000000-0008-0000-3F00-00001F000000}"/>
                </a:ext>
              </a:extLst>
            </xdr:cNvPr>
            <xdr:cNvSpPr/>
          </xdr:nvSpPr>
          <xdr:spPr>
            <a:xfrm>
              <a:off x="5754029" y="1576039"/>
              <a:ext cx="1278673" cy="591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CAP">
              <a:hlinkClick xmlns:r="http://schemas.openxmlformats.org/officeDocument/2006/relationships" r:id="rId6" tooltip="Compressed Air / Process"/>
              <a:extLst>
                <a:ext uri="{FF2B5EF4-FFF2-40B4-BE49-F238E27FC236}">
                  <a16:creationId xmlns:a16="http://schemas.microsoft.com/office/drawing/2014/main" id="{00000000-0008-0000-3F00-00001E000000}"/>
                </a:ext>
              </a:extLst>
            </xdr:cNvPr>
            <xdr:cNvSpPr/>
          </xdr:nvSpPr>
          <xdr:spPr>
            <a:xfrm>
              <a:off x="4475356" y="1576039"/>
              <a:ext cx="1278673" cy="591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MD">
              <a:hlinkClick xmlns:r="http://schemas.openxmlformats.org/officeDocument/2006/relationships" r:id="rId7" tooltip="Motors and Drives"/>
              <a:extLst>
                <a:ext uri="{FF2B5EF4-FFF2-40B4-BE49-F238E27FC236}">
                  <a16:creationId xmlns:a16="http://schemas.microsoft.com/office/drawing/2014/main" id="{00000000-0008-0000-3F00-00001D000000}"/>
                </a:ext>
              </a:extLst>
            </xdr:cNvPr>
            <xdr:cNvSpPr/>
          </xdr:nvSpPr>
          <xdr:spPr>
            <a:xfrm>
              <a:off x="3196683" y="1576039"/>
              <a:ext cx="1278673" cy="591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HVAC">
              <a:hlinkClick xmlns:r="http://schemas.openxmlformats.org/officeDocument/2006/relationships" r:id="rId8" tooltip="HVAC"/>
              <a:extLst>
                <a:ext uri="{FF2B5EF4-FFF2-40B4-BE49-F238E27FC236}">
                  <a16:creationId xmlns:a16="http://schemas.microsoft.com/office/drawing/2014/main" id="{00000000-0008-0000-3F00-00001C000000}"/>
                </a:ext>
              </a:extLst>
            </xdr:cNvPr>
            <xdr:cNvSpPr/>
          </xdr:nvSpPr>
          <xdr:spPr>
            <a:xfrm>
              <a:off x="1918011" y="1576039"/>
              <a:ext cx="1278672" cy="591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6" name="Dividers">
            <a:extLst>
              <a:ext uri="{FF2B5EF4-FFF2-40B4-BE49-F238E27FC236}">
                <a16:creationId xmlns:a16="http://schemas.microsoft.com/office/drawing/2014/main" id="{00000000-0008-0000-3F00-000010000000}"/>
              </a:ext>
            </a:extLst>
          </xdr:cNvPr>
          <xdr:cNvGrpSpPr/>
        </xdr:nvGrpSpPr>
        <xdr:grpSpPr>
          <a:xfrm>
            <a:off x="1918010" y="1576039"/>
            <a:ext cx="7670714" cy="493519"/>
            <a:chOff x="1918010" y="1576039"/>
            <a:chExt cx="7670714" cy="493519"/>
          </a:xfrm>
        </xdr:grpSpPr>
        <xdr:cxnSp macro="">
          <xdr:nvCxnSpPr>
            <xdr:cNvPr id="40" name="Divider 7">
              <a:extLst>
                <a:ext uri="{FF2B5EF4-FFF2-40B4-BE49-F238E27FC236}">
                  <a16:creationId xmlns:a16="http://schemas.microsoft.com/office/drawing/2014/main" id="{00000000-0008-0000-3F00-000028000000}"/>
                </a:ext>
              </a:extLst>
            </xdr:cNvPr>
            <xdr:cNvCxnSpPr/>
          </xdr:nvCxnSpPr>
          <xdr:spPr>
            <a:xfrm>
              <a:off x="9588724" y="1576039"/>
              <a:ext cx="0" cy="48881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6">
              <a:extLst>
                <a:ext uri="{FF2B5EF4-FFF2-40B4-BE49-F238E27FC236}">
                  <a16:creationId xmlns:a16="http://schemas.microsoft.com/office/drawing/2014/main" id="{00000000-0008-0000-3F00-000009000000}"/>
                </a:ext>
              </a:extLst>
            </xdr:cNvPr>
            <xdr:cNvCxnSpPr/>
          </xdr:nvCxnSpPr>
          <xdr:spPr>
            <a:xfrm>
              <a:off x="8311376" y="1576039"/>
              <a:ext cx="0" cy="49351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3F00-000007000000}"/>
                </a:ext>
              </a:extLst>
            </xdr:cNvPr>
            <xdr:cNvCxnSpPr/>
          </xdr:nvCxnSpPr>
          <xdr:spPr>
            <a:xfrm>
              <a:off x="7032702" y="1576039"/>
              <a:ext cx="0" cy="49351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3F00-000008000000}"/>
                </a:ext>
              </a:extLst>
            </xdr:cNvPr>
            <xdr:cNvCxnSpPr/>
          </xdr:nvCxnSpPr>
          <xdr:spPr>
            <a:xfrm>
              <a:off x="5754029" y="1576039"/>
              <a:ext cx="0" cy="48881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3F00-000006000000}"/>
                </a:ext>
              </a:extLst>
            </xdr:cNvPr>
            <xdr:cNvCxnSpPr/>
          </xdr:nvCxnSpPr>
          <xdr:spPr>
            <a:xfrm>
              <a:off x="4475356" y="1576039"/>
              <a:ext cx="0" cy="49351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 name="Divider 2">
              <a:extLst>
                <a:ext uri="{FF2B5EF4-FFF2-40B4-BE49-F238E27FC236}">
                  <a16:creationId xmlns:a16="http://schemas.microsoft.com/office/drawing/2014/main" id="{00000000-0008-0000-3F00-000005000000}"/>
                </a:ext>
              </a:extLst>
            </xdr:cNvPr>
            <xdr:cNvCxnSpPr/>
          </xdr:nvCxnSpPr>
          <xdr:spPr>
            <a:xfrm>
              <a:off x="3196683" y="1576039"/>
              <a:ext cx="0" cy="49351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 name="Divider 1">
              <a:extLst>
                <a:ext uri="{FF2B5EF4-FFF2-40B4-BE49-F238E27FC236}">
                  <a16:creationId xmlns:a16="http://schemas.microsoft.com/office/drawing/2014/main" id="{00000000-0008-0000-3F00-000004000000}"/>
                </a:ext>
              </a:extLst>
            </xdr:cNvPr>
            <xdr:cNvCxnSpPr/>
          </xdr:nvCxnSpPr>
          <xdr:spPr>
            <a:xfrm>
              <a:off x="1918010" y="1576039"/>
              <a:ext cx="0" cy="49351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oneCellAnchor>
  <xdr:oneCellAnchor>
    <xdr:from>
      <xdr:col>6</xdr:col>
      <xdr:colOff>0</xdr:colOff>
      <xdr:row>3</xdr:row>
      <xdr:rowOff>815</xdr:rowOff>
    </xdr:from>
    <xdr:ext cx="11518745" cy="985302"/>
    <xdr:grpSp>
      <xdr:nvGrpSpPr>
        <xdr:cNvPr id="2" name="Navigation">
          <a:extLst>
            <a:ext uri="{FF2B5EF4-FFF2-40B4-BE49-F238E27FC236}">
              <a16:creationId xmlns:a16="http://schemas.microsoft.com/office/drawing/2014/main" id="{00000000-0008-0000-3F00-000002000000}"/>
            </a:ext>
          </a:extLst>
        </xdr:cNvPr>
        <xdr:cNvGrpSpPr/>
      </xdr:nvGrpSpPr>
      <xdr:grpSpPr>
        <a:xfrm>
          <a:off x="1882588" y="605933"/>
          <a:ext cx="11518745" cy="985302"/>
          <a:chOff x="1576553" y="592282"/>
          <a:chExt cx="11373937" cy="986117"/>
        </a:xfrm>
      </xdr:grpSpPr>
      <xdr:cxnSp macro="">
        <xdr:nvCxnSpPr>
          <xdr:cNvPr id="3" name="Reference">
            <a:extLst>
              <a:ext uri="{FF2B5EF4-FFF2-40B4-BE49-F238E27FC236}">
                <a16:creationId xmlns:a16="http://schemas.microsoft.com/office/drawing/2014/main" id="{00000000-0008-0000-3F00-000003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2" name="7: Project Review">
            <a:hlinkClick xmlns:r="http://schemas.openxmlformats.org/officeDocument/2006/relationships" r:id="rId9" tooltip="Project Review"/>
            <a:extLst>
              <a:ext uri="{FF2B5EF4-FFF2-40B4-BE49-F238E27FC236}">
                <a16:creationId xmlns:a16="http://schemas.microsoft.com/office/drawing/2014/main" id="{00000000-0008-0000-3F00-00000C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3" name="6: Payment">
            <a:hlinkClick xmlns:r="http://schemas.openxmlformats.org/officeDocument/2006/relationships" r:id="rId10" tooltip="Payment"/>
            <a:extLst>
              <a:ext uri="{FF2B5EF4-FFF2-40B4-BE49-F238E27FC236}">
                <a16:creationId xmlns:a16="http://schemas.microsoft.com/office/drawing/2014/main" id="{00000000-0008-0000-3F00-00000D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4" name="5: Equipment Input">
            <a:hlinkClick xmlns:r="http://schemas.openxmlformats.org/officeDocument/2006/relationships" r:id="rId11" tooltip="Equipment Input"/>
            <a:extLst>
              <a:ext uri="{FF2B5EF4-FFF2-40B4-BE49-F238E27FC236}">
                <a16:creationId xmlns:a16="http://schemas.microsoft.com/office/drawing/2014/main" id="{00000000-0008-0000-3F00-00000E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5" name="4: DTM">
            <a:hlinkClick xmlns:r="http://schemas.openxmlformats.org/officeDocument/2006/relationships" r:id="rId12" tooltip="Building Information"/>
            <a:extLst>
              <a:ext uri="{FF2B5EF4-FFF2-40B4-BE49-F238E27FC236}">
                <a16:creationId xmlns:a16="http://schemas.microsoft.com/office/drawing/2014/main" id="{00000000-0008-0000-3F00-00000F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23" name="3: Customer/Bldg Info">
            <a:hlinkClick xmlns:r="http://schemas.openxmlformats.org/officeDocument/2006/relationships" r:id="rId13" tooltip="Customer Information"/>
            <a:extLst>
              <a:ext uri="{FF2B5EF4-FFF2-40B4-BE49-F238E27FC236}">
                <a16:creationId xmlns:a16="http://schemas.microsoft.com/office/drawing/2014/main" id="{00000000-0008-0000-3F00-000017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24" name="2: Design Team">
            <a:hlinkClick xmlns:r="http://schemas.openxmlformats.org/officeDocument/2006/relationships" r:id="rId14" tooltip="Trade Ally/Vendor Information"/>
            <a:extLst>
              <a:ext uri="{FF2B5EF4-FFF2-40B4-BE49-F238E27FC236}">
                <a16:creationId xmlns:a16="http://schemas.microsoft.com/office/drawing/2014/main" id="{00000000-0008-0000-3F00-000018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25" name="1: T&amp;C's">
            <a:hlinkClick xmlns:r="http://schemas.openxmlformats.org/officeDocument/2006/relationships" r:id="rId15" tooltip="Terms &amp; Conditions"/>
            <a:extLst>
              <a:ext uri="{FF2B5EF4-FFF2-40B4-BE49-F238E27FC236}">
                <a16:creationId xmlns:a16="http://schemas.microsoft.com/office/drawing/2014/main" id="{00000000-0008-0000-3F00-000019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oneCellAnchor>
  <xdr:twoCellAnchor editAs="oneCell">
    <xdr:from>
      <xdr:col>0</xdr:col>
      <xdr:colOff>0</xdr:colOff>
      <xdr:row>0</xdr:row>
      <xdr:rowOff>0</xdr:rowOff>
    </xdr:from>
    <xdr:to>
      <xdr:col>49</xdr:col>
      <xdr:colOff>0</xdr:colOff>
      <xdr:row>3</xdr:row>
      <xdr:rowOff>0</xdr:rowOff>
    </xdr:to>
    <xdr:grpSp>
      <xdr:nvGrpSpPr>
        <xdr:cNvPr id="43" name="Header">
          <a:extLst>
            <a:ext uri="{FF2B5EF4-FFF2-40B4-BE49-F238E27FC236}">
              <a16:creationId xmlns:a16="http://schemas.microsoft.com/office/drawing/2014/main" id="{00000000-0008-0000-3F00-00002B000000}"/>
            </a:ext>
          </a:extLst>
        </xdr:cNvPr>
        <xdr:cNvGrpSpPr/>
      </xdr:nvGrpSpPr>
      <xdr:grpSpPr>
        <a:xfrm>
          <a:off x="0" y="0"/>
          <a:ext cx="15374471" cy="605118"/>
          <a:chOff x="0" y="0"/>
          <a:chExt cx="15822705" cy="591825"/>
        </a:xfrm>
      </xdr:grpSpPr>
      <xdr:grpSp>
        <xdr:nvGrpSpPr>
          <xdr:cNvPr id="44" name="Header">
            <a:extLst>
              <a:ext uri="{FF2B5EF4-FFF2-40B4-BE49-F238E27FC236}">
                <a16:creationId xmlns:a16="http://schemas.microsoft.com/office/drawing/2014/main" id="{00000000-0008-0000-3F00-00002C000000}"/>
              </a:ext>
            </a:extLst>
          </xdr:cNvPr>
          <xdr:cNvGrpSpPr/>
        </xdr:nvGrpSpPr>
        <xdr:grpSpPr>
          <a:xfrm>
            <a:off x="0" y="0"/>
            <a:ext cx="15822705" cy="591825"/>
            <a:chOff x="0" y="0"/>
            <a:chExt cx="15822705" cy="591825"/>
          </a:xfrm>
        </xdr:grpSpPr>
        <xdr:sp macro="" textlink="">
          <xdr:nvSpPr>
            <xdr:cNvPr id="64" name="Reference">
              <a:extLst>
                <a:ext uri="{FF2B5EF4-FFF2-40B4-BE49-F238E27FC236}">
                  <a16:creationId xmlns:a16="http://schemas.microsoft.com/office/drawing/2014/main" id="{00000000-0008-0000-3F00-000040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Contact">
              <a:hlinkClick xmlns:r="http://schemas.openxmlformats.org/officeDocument/2006/relationships" r:id="rId16" tooltip="Contact"/>
              <a:extLst>
                <a:ext uri="{FF2B5EF4-FFF2-40B4-BE49-F238E27FC236}">
                  <a16:creationId xmlns:a16="http://schemas.microsoft.com/office/drawing/2014/main" id="{00000000-0008-0000-3F00-000041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Completion">
              <a:hlinkClick xmlns:r="http://schemas.openxmlformats.org/officeDocument/2006/relationships" r:id="rId17" tooltip=" "/>
              <a:extLst>
                <a:ext uri="{FF2B5EF4-FFF2-40B4-BE49-F238E27FC236}">
                  <a16:creationId xmlns:a16="http://schemas.microsoft.com/office/drawing/2014/main" id="{00000000-0008-0000-3F00-000042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Offer">
              <a:hlinkClick xmlns:r="http://schemas.openxmlformats.org/officeDocument/2006/relationships" r:id="rId18" tooltip=" "/>
              <a:extLst>
                <a:ext uri="{FF2B5EF4-FFF2-40B4-BE49-F238E27FC236}">
                  <a16:creationId xmlns:a16="http://schemas.microsoft.com/office/drawing/2014/main" id="{00000000-0008-0000-3F00-000043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Instructions">
              <a:hlinkClick xmlns:r="http://schemas.openxmlformats.org/officeDocument/2006/relationships" r:id="rId19" tooltip="Instructions"/>
              <a:extLst>
                <a:ext uri="{FF2B5EF4-FFF2-40B4-BE49-F238E27FC236}">
                  <a16:creationId xmlns:a16="http://schemas.microsoft.com/office/drawing/2014/main" id="{00000000-0008-0000-3F00-000044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Welcome">
              <a:hlinkClick xmlns:r="http://schemas.openxmlformats.org/officeDocument/2006/relationships" r:id="rId20" tooltip="Welcome"/>
              <a:extLst>
                <a:ext uri="{FF2B5EF4-FFF2-40B4-BE49-F238E27FC236}">
                  <a16:creationId xmlns:a16="http://schemas.microsoft.com/office/drawing/2014/main" id="{00000000-0008-0000-3F00-000045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0" name="Evergy Logo">
              <a:extLst>
                <a:ext uri="{FF2B5EF4-FFF2-40B4-BE49-F238E27FC236}">
                  <a16:creationId xmlns:a16="http://schemas.microsoft.com/office/drawing/2014/main" id="{00000000-0008-0000-3F00-00004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45" name="Dividers">
            <a:extLst>
              <a:ext uri="{FF2B5EF4-FFF2-40B4-BE49-F238E27FC236}">
                <a16:creationId xmlns:a16="http://schemas.microsoft.com/office/drawing/2014/main" id="{00000000-0008-0000-3F00-00002D000000}"/>
              </a:ext>
            </a:extLst>
          </xdr:cNvPr>
          <xdr:cNvGrpSpPr/>
        </xdr:nvGrpSpPr>
        <xdr:grpSpPr>
          <a:xfrm>
            <a:off x="1615312" y="85571"/>
            <a:ext cx="12926000" cy="423176"/>
            <a:chOff x="1615312" y="85571"/>
            <a:chExt cx="12926000" cy="423176"/>
          </a:xfrm>
        </xdr:grpSpPr>
        <xdr:cxnSp macro="">
          <xdr:nvCxnSpPr>
            <xdr:cNvPr id="46" name="Divider 4">
              <a:extLst>
                <a:ext uri="{FF2B5EF4-FFF2-40B4-BE49-F238E27FC236}">
                  <a16:creationId xmlns:a16="http://schemas.microsoft.com/office/drawing/2014/main" id="{00000000-0008-0000-3F00-00002E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3F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3F00-000030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3" name="Divider 1">
              <a:extLst>
                <a:ext uri="{FF2B5EF4-FFF2-40B4-BE49-F238E27FC236}">
                  <a16:creationId xmlns:a16="http://schemas.microsoft.com/office/drawing/2014/main" id="{00000000-0008-0000-3F00-00003F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212910</xdr:colOff>
      <xdr:row>8</xdr:row>
      <xdr:rowOff>100854</xdr:rowOff>
    </xdr:from>
    <xdr:to>
      <xdr:col>3</xdr:col>
      <xdr:colOff>112057</xdr:colOff>
      <xdr:row>10</xdr:row>
      <xdr:rowOff>108922</xdr:rowOff>
    </xdr:to>
    <xdr:sp macro="" textlink="">
      <xdr:nvSpPr>
        <xdr:cNvPr id="10" name="Arrow: Left N4S4">
          <a:hlinkClick xmlns:r="http://schemas.openxmlformats.org/officeDocument/2006/relationships" r:id="rId1" tooltip="Back: Refrigeration"/>
          <a:extLst>
            <a:ext uri="{FF2B5EF4-FFF2-40B4-BE49-F238E27FC236}">
              <a16:creationId xmlns:a16="http://schemas.microsoft.com/office/drawing/2014/main" id="{00000000-0008-0000-4000-00000A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42</xdr:col>
      <xdr:colOff>145676</xdr:colOff>
      <xdr:row>8</xdr:row>
      <xdr:rowOff>100854</xdr:rowOff>
    </xdr:from>
    <xdr:to>
      <xdr:col>44</xdr:col>
      <xdr:colOff>48499</xdr:colOff>
      <xdr:row>10</xdr:row>
      <xdr:rowOff>108922</xdr:rowOff>
    </xdr:to>
    <xdr:sp macro="" textlink="">
      <xdr:nvSpPr>
        <xdr:cNvPr id="11" name="Arrow: Right N4S6">
          <a:hlinkClick xmlns:r="http://schemas.openxmlformats.org/officeDocument/2006/relationships" r:id="rId2" tooltip="Forward: Miscellaneous"/>
          <a:extLst>
            <a:ext uri="{FF2B5EF4-FFF2-40B4-BE49-F238E27FC236}">
              <a16:creationId xmlns:a16="http://schemas.microsoft.com/office/drawing/2014/main" id="{00000000-0008-0000-4000-00000B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319040</xdr:colOff>
      <xdr:row>8</xdr:row>
      <xdr:rowOff>0</xdr:rowOff>
    </xdr:from>
    <xdr:to>
      <xdr:col>30</xdr:col>
      <xdr:colOff>0</xdr:colOff>
      <xdr:row>11</xdr:row>
      <xdr:rowOff>1</xdr:rowOff>
    </xdr:to>
    <xdr:grpSp>
      <xdr:nvGrpSpPr>
        <xdr:cNvPr id="6" name="Measure Categories">
          <a:extLst>
            <a:ext uri="{FF2B5EF4-FFF2-40B4-BE49-F238E27FC236}">
              <a16:creationId xmlns:a16="http://schemas.microsoft.com/office/drawing/2014/main" id="{00000000-0008-0000-4000-000006000000}"/>
            </a:ext>
          </a:extLst>
        </xdr:cNvPr>
        <xdr:cNvGrpSpPr/>
      </xdr:nvGrpSpPr>
      <xdr:grpSpPr>
        <a:xfrm>
          <a:off x="1887864" y="1613647"/>
          <a:ext cx="7525077" cy="605119"/>
          <a:chOff x="1936329" y="1580425"/>
          <a:chExt cx="7745273" cy="589800"/>
        </a:xfrm>
      </xdr:grpSpPr>
      <xdr:grpSp>
        <xdr:nvGrpSpPr>
          <xdr:cNvPr id="5" name="Categories">
            <a:extLst>
              <a:ext uri="{FF2B5EF4-FFF2-40B4-BE49-F238E27FC236}">
                <a16:creationId xmlns:a16="http://schemas.microsoft.com/office/drawing/2014/main" id="{00000000-0008-0000-4000-000005000000}"/>
              </a:ext>
            </a:extLst>
          </xdr:cNvPr>
          <xdr:cNvGrpSpPr/>
        </xdr:nvGrpSpPr>
        <xdr:grpSpPr>
          <a:xfrm>
            <a:off x="1936329" y="1580426"/>
            <a:ext cx="7745273" cy="589799"/>
            <a:chOff x="1936329" y="1580426"/>
            <a:chExt cx="7745273" cy="589799"/>
          </a:xfrm>
        </xdr:grpSpPr>
        <xdr:sp macro="" textlink="">
          <xdr:nvSpPr>
            <xdr:cNvPr id="47" name="Misc">
              <a:hlinkClick xmlns:r="http://schemas.openxmlformats.org/officeDocument/2006/relationships" r:id="rId3" tooltip="Miscellaneous"/>
              <a:extLst>
                <a:ext uri="{FF2B5EF4-FFF2-40B4-BE49-F238E27FC236}">
                  <a16:creationId xmlns:a16="http://schemas.microsoft.com/office/drawing/2014/main" id="{00000000-0008-0000-4000-00002F000000}"/>
                </a:ext>
              </a:extLst>
            </xdr:cNvPr>
            <xdr:cNvSpPr/>
          </xdr:nvSpPr>
          <xdr:spPr>
            <a:xfrm>
              <a:off x="8390732" y="1580426"/>
              <a:ext cx="1290870" cy="5897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WHFS">
              <a:hlinkClick xmlns:r="http://schemas.openxmlformats.org/officeDocument/2006/relationships" r:id="rId4" tooltip="Water Heating / Food Services"/>
              <a:extLst>
                <a:ext uri="{FF2B5EF4-FFF2-40B4-BE49-F238E27FC236}">
                  <a16:creationId xmlns:a16="http://schemas.microsoft.com/office/drawing/2014/main" id="{00000000-0008-0000-4000-00002E000000}"/>
                </a:ext>
              </a:extLst>
            </xdr:cNvPr>
            <xdr:cNvSpPr/>
          </xdr:nvSpPr>
          <xdr:spPr>
            <a:xfrm>
              <a:off x="7099861" y="1580426"/>
              <a:ext cx="1290871" cy="5897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Refrigeration">
              <a:hlinkClick xmlns:r="http://schemas.openxmlformats.org/officeDocument/2006/relationships" r:id="rId5" tooltip="Refrigeration"/>
              <a:extLst>
                <a:ext uri="{FF2B5EF4-FFF2-40B4-BE49-F238E27FC236}">
                  <a16:creationId xmlns:a16="http://schemas.microsoft.com/office/drawing/2014/main" id="{00000000-0008-0000-4000-00002D000000}"/>
                </a:ext>
              </a:extLst>
            </xdr:cNvPr>
            <xdr:cNvSpPr/>
          </xdr:nvSpPr>
          <xdr:spPr>
            <a:xfrm>
              <a:off x="5808943" y="1580426"/>
              <a:ext cx="1290918" cy="5897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AP">
              <a:hlinkClick xmlns:r="http://schemas.openxmlformats.org/officeDocument/2006/relationships" r:id="rId6" tooltip="Compressed Air / Process"/>
              <a:extLst>
                <a:ext uri="{FF2B5EF4-FFF2-40B4-BE49-F238E27FC236}">
                  <a16:creationId xmlns:a16="http://schemas.microsoft.com/office/drawing/2014/main" id="{00000000-0008-0000-4000-00002C000000}"/>
                </a:ext>
              </a:extLst>
            </xdr:cNvPr>
            <xdr:cNvSpPr/>
          </xdr:nvSpPr>
          <xdr:spPr>
            <a:xfrm>
              <a:off x="4518072" y="1580426"/>
              <a:ext cx="1290918" cy="5897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MD">
              <a:hlinkClick xmlns:r="http://schemas.openxmlformats.org/officeDocument/2006/relationships" r:id="rId7" tooltip="Motors and Drives"/>
              <a:extLst>
                <a:ext uri="{FF2B5EF4-FFF2-40B4-BE49-F238E27FC236}">
                  <a16:creationId xmlns:a16="http://schemas.microsoft.com/office/drawing/2014/main" id="{00000000-0008-0000-4000-00002B000000}"/>
                </a:ext>
              </a:extLst>
            </xdr:cNvPr>
            <xdr:cNvSpPr/>
          </xdr:nvSpPr>
          <xdr:spPr>
            <a:xfrm>
              <a:off x="3227249" y="1580426"/>
              <a:ext cx="1290871" cy="5897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HVAC">
              <a:hlinkClick xmlns:r="http://schemas.openxmlformats.org/officeDocument/2006/relationships" r:id="rId8" tooltip="HVAC"/>
              <a:extLst>
                <a:ext uri="{FF2B5EF4-FFF2-40B4-BE49-F238E27FC236}">
                  <a16:creationId xmlns:a16="http://schemas.microsoft.com/office/drawing/2014/main" id="{00000000-0008-0000-4000-00002A000000}"/>
                </a:ext>
              </a:extLst>
            </xdr:cNvPr>
            <xdr:cNvSpPr/>
          </xdr:nvSpPr>
          <xdr:spPr>
            <a:xfrm>
              <a:off x="1936329" y="1580427"/>
              <a:ext cx="1290919" cy="5897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4" name="Dividers">
            <a:extLst>
              <a:ext uri="{FF2B5EF4-FFF2-40B4-BE49-F238E27FC236}">
                <a16:creationId xmlns:a16="http://schemas.microsoft.com/office/drawing/2014/main" id="{00000000-0008-0000-4000-000004000000}"/>
              </a:ext>
            </a:extLst>
          </xdr:cNvPr>
          <xdr:cNvGrpSpPr/>
        </xdr:nvGrpSpPr>
        <xdr:grpSpPr>
          <a:xfrm>
            <a:off x="1936377" y="1580425"/>
            <a:ext cx="7745225" cy="495999"/>
            <a:chOff x="1936377" y="1580425"/>
            <a:chExt cx="7745225" cy="495999"/>
          </a:xfrm>
        </xdr:grpSpPr>
        <xdr:cxnSp macro="">
          <xdr:nvCxnSpPr>
            <xdr:cNvPr id="48" name="Divider 7">
              <a:extLst>
                <a:ext uri="{FF2B5EF4-FFF2-40B4-BE49-F238E27FC236}">
                  <a16:creationId xmlns:a16="http://schemas.microsoft.com/office/drawing/2014/main" id="{00000000-0008-0000-4000-000030000000}"/>
                </a:ext>
              </a:extLst>
            </xdr:cNvPr>
            <xdr:cNvCxnSpPr/>
          </xdr:nvCxnSpPr>
          <xdr:spPr>
            <a:xfrm>
              <a:off x="9681602" y="1580425"/>
              <a:ext cx="0" cy="4894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6">
              <a:extLst>
                <a:ext uri="{FF2B5EF4-FFF2-40B4-BE49-F238E27FC236}">
                  <a16:creationId xmlns:a16="http://schemas.microsoft.com/office/drawing/2014/main" id="{00000000-0008-0000-4000-000029000000}"/>
                </a:ext>
              </a:extLst>
            </xdr:cNvPr>
            <xdr:cNvCxnSpPr/>
          </xdr:nvCxnSpPr>
          <xdr:spPr>
            <a:xfrm>
              <a:off x="8390731" y="1580425"/>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5">
              <a:extLst>
                <a:ext uri="{FF2B5EF4-FFF2-40B4-BE49-F238E27FC236}">
                  <a16:creationId xmlns:a16="http://schemas.microsoft.com/office/drawing/2014/main" id="{00000000-0008-0000-4000-000027000000}"/>
                </a:ext>
              </a:extLst>
            </xdr:cNvPr>
            <xdr:cNvCxnSpPr/>
          </xdr:nvCxnSpPr>
          <xdr:spPr>
            <a:xfrm>
              <a:off x="7099861" y="1580425"/>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4">
              <a:extLst>
                <a:ext uri="{FF2B5EF4-FFF2-40B4-BE49-F238E27FC236}">
                  <a16:creationId xmlns:a16="http://schemas.microsoft.com/office/drawing/2014/main" id="{00000000-0008-0000-4000-000028000000}"/>
                </a:ext>
              </a:extLst>
            </xdr:cNvPr>
            <xdr:cNvCxnSpPr/>
          </xdr:nvCxnSpPr>
          <xdr:spPr>
            <a:xfrm>
              <a:off x="5808990" y="1580425"/>
              <a:ext cx="0" cy="4894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3">
              <a:extLst>
                <a:ext uri="{FF2B5EF4-FFF2-40B4-BE49-F238E27FC236}">
                  <a16:creationId xmlns:a16="http://schemas.microsoft.com/office/drawing/2014/main" id="{00000000-0008-0000-4000-000026000000}"/>
                </a:ext>
              </a:extLst>
            </xdr:cNvPr>
            <xdr:cNvCxnSpPr/>
          </xdr:nvCxnSpPr>
          <xdr:spPr>
            <a:xfrm>
              <a:off x="4518119" y="1580425"/>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2">
              <a:extLst>
                <a:ext uri="{FF2B5EF4-FFF2-40B4-BE49-F238E27FC236}">
                  <a16:creationId xmlns:a16="http://schemas.microsoft.com/office/drawing/2014/main" id="{00000000-0008-0000-4000-000025000000}"/>
                </a:ext>
              </a:extLst>
            </xdr:cNvPr>
            <xdr:cNvCxnSpPr/>
          </xdr:nvCxnSpPr>
          <xdr:spPr>
            <a:xfrm>
              <a:off x="3227294" y="1582468"/>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a:extLst>
                <a:ext uri="{FF2B5EF4-FFF2-40B4-BE49-F238E27FC236}">
                  <a16:creationId xmlns:a16="http://schemas.microsoft.com/office/drawing/2014/main" id="{00000000-0008-0000-4000-000024000000}"/>
                </a:ext>
              </a:extLst>
            </xdr:cNvPr>
            <xdr:cNvCxnSpPr/>
          </xdr:nvCxnSpPr>
          <xdr:spPr>
            <a:xfrm>
              <a:off x="1936377" y="1580425"/>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6</xdr:col>
      <xdr:colOff>0</xdr:colOff>
      <xdr:row>3</xdr:row>
      <xdr:rowOff>815</xdr:rowOff>
    </xdr:from>
    <xdr:to>
      <xdr:col>41</xdr:col>
      <xdr:colOff>223215</xdr:colOff>
      <xdr:row>8</xdr:row>
      <xdr:rowOff>0</xdr:rowOff>
    </xdr:to>
    <xdr:grpSp>
      <xdr:nvGrpSpPr>
        <xdr:cNvPr id="2" name="Navigation">
          <a:extLst>
            <a:ext uri="{FF2B5EF4-FFF2-40B4-BE49-F238E27FC236}">
              <a16:creationId xmlns:a16="http://schemas.microsoft.com/office/drawing/2014/main" id="{00000000-0008-0000-4000-000002000000}"/>
            </a:ext>
          </a:extLst>
        </xdr:cNvPr>
        <xdr:cNvGrpSpPr/>
      </xdr:nvGrpSpPr>
      <xdr:grpSpPr>
        <a:xfrm>
          <a:off x="1882588" y="605933"/>
          <a:ext cx="11204980" cy="1007714"/>
          <a:chOff x="1576553" y="592282"/>
          <a:chExt cx="11373937" cy="986117"/>
        </a:xfrm>
      </xdr:grpSpPr>
      <xdr:cxnSp macro="">
        <xdr:nvCxnSpPr>
          <xdr:cNvPr id="3" name="Reference">
            <a:extLst>
              <a:ext uri="{FF2B5EF4-FFF2-40B4-BE49-F238E27FC236}">
                <a16:creationId xmlns:a16="http://schemas.microsoft.com/office/drawing/2014/main" id="{00000000-0008-0000-4000-000003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3" name="7: Project Review">
            <a:hlinkClick xmlns:r="http://schemas.openxmlformats.org/officeDocument/2006/relationships" r:id="rId9" tooltip="Project Review"/>
            <a:extLst>
              <a:ext uri="{FF2B5EF4-FFF2-40B4-BE49-F238E27FC236}">
                <a16:creationId xmlns:a16="http://schemas.microsoft.com/office/drawing/2014/main" id="{00000000-0008-0000-4000-00000D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4" name="6: Payment">
            <a:hlinkClick xmlns:r="http://schemas.openxmlformats.org/officeDocument/2006/relationships" r:id="rId10" tooltip="Payment"/>
            <a:extLst>
              <a:ext uri="{FF2B5EF4-FFF2-40B4-BE49-F238E27FC236}">
                <a16:creationId xmlns:a16="http://schemas.microsoft.com/office/drawing/2014/main" id="{00000000-0008-0000-4000-00000E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5" name="5: Equipment Input">
            <a:hlinkClick xmlns:r="http://schemas.openxmlformats.org/officeDocument/2006/relationships" r:id="rId11" tooltip="Equipment Input"/>
            <a:extLst>
              <a:ext uri="{FF2B5EF4-FFF2-40B4-BE49-F238E27FC236}">
                <a16:creationId xmlns:a16="http://schemas.microsoft.com/office/drawing/2014/main" id="{00000000-0008-0000-4000-00000F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6" name="4: DTM">
            <a:hlinkClick xmlns:r="http://schemas.openxmlformats.org/officeDocument/2006/relationships" r:id="rId12" tooltip="Building Information"/>
            <a:extLst>
              <a:ext uri="{FF2B5EF4-FFF2-40B4-BE49-F238E27FC236}">
                <a16:creationId xmlns:a16="http://schemas.microsoft.com/office/drawing/2014/main" id="{00000000-0008-0000-4000-000010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7" name="3: Customer/Bldg Info">
            <a:hlinkClick xmlns:r="http://schemas.openxmlformats.org/officeDocument/2006/relationships" r:id="rId13" tooltip="Customer Information"/>
            <a:extLst>
              <a:ext uri="{FF2B5EF4-FFF2-40B4-BE49-F238E27FC236}">
                <a16:creationId xmlns:a16="http://schemas.microsoft.com/office/drawing/2014/main" id="{00000000-0008-0000-4000-000011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8" name="2: Design Team">
            <a:hlinkClick xmlns:r="http://schemas.openxmlformats.org/officeDocument/2006/relationships" r:id="rId14" tooltip="Trade Ally/Vendor Information"/>
            <a:extLst>
              <a:ext uri="{FF2B5EF4-FFF2-40B4-BE49-F238E27FC236}">
                <a16:creationId xmlns:a16="http://schemas.microsoft.com/office/drawing/2014/main" id="{00000000-0008-0000-4000-000012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9" name="1: T&amp;C's">
            <a:hlinkClick xmlns:r="http://schemas.openxmlformats.org/officeDocument/2006/relationships" r:id="rId15" tooltip="Terms &amp; Conditions"/>
            <a:extLst>
              <a:ext uri="{FF2B5EF4-FFF2-40B4-BE49-F238E27FC236}">
                <a16:creationId xmlns:a16="http://schemas.microsoft.com/office/drawing/2014/main" id="{00000000-0008-0000-4000-000013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7" name="Header">
          <a:extLst>
            <a:ext uri="{FF2B5EF4-FFF2-40B4-BE49-F238E27FC236}">
              <a16:creationId xmlns:a16="http://schemas.microsoft.com/office/drawing/2014/main" id="{00000000-0008-0000-4000-000007000000}"/>
            </a:ext>
          </a:extLst>
        </xdr:cNvPr>
        <xdr:cNvGrpSpPr/>
      </xdr:nvGrpSpPr>
      <xdr:grpSpPr>
        <a:xfrm>
          <a:off x="0" y="0"/>
          <a:ext cx="15374471" cy="605118"/>
          <a:chOff x="0" y="0"/>
          <a:chExt cx="15822705" cy="591825"/>
        </a:xfrm>
      </xdr:grpSpPr>
      <xdr:grpSp>
        <xdr:nvGrpSpPr>
          <xdr:cNvPr id="8" name="Header">
            <a:extLst>
              <a:ext uri="{FF2B5EF4-FFF2-40B4-BE49-F238E27FC236}">
                <a16:creationId xmlns:a16="http://schemas.microsoft.com/office/drawing/2014/main" id="{00000000-0008-0000-4000-000008000000}"/>
              </a:ext>
            </a:extLst>
          </xdr:cNvPr>
          <xdr:cNvGrpSpPr/>
        </xdr:nvGrpSpPr>
        <xdr:grpSpPr>
          <a:xfrm>
            <a:off x="0" y="0"/>
            <a:ext cx="15822705" cy="591825"/>
            <a:chOff x="0" y="0"/>
            <a:chExt cx="15822705" cy="591825"/>
          </a:xfrm>
        </xdr:grpSpPr>
        <xdr:sp macro="" textlink="">
          <xdr:nvSpPr>
            <xdr:cNvPr id="23" name="Reference">
              <a:extLst>
                <a:ext uri="{FF2B5EF4-FFF2-40B4-BE49-F238E27FC236}">
                  <a16:creationId xmlns:a16="http://schemas.microsoft.com/office/drawing/2014/main" id="{00000000-0008-0000-4000-000017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Contact">
              <a:hlinkClick xmlns:r="http://schemas.openxmlformats.org/officeDocument/2006/relationships" r:id="rId16" tooltip="Contact"/>
              <a:extLst>
                <a:ext uri="{FF2B5EF4-FFF2-40B4-BE49-F238E27FC236}">
                  <a16:creationId xmlns:a16="http://schemas.microsoft.com/office/drawing/2014/main" id="{00000000-0008-0000-4000-000018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Completion">
              <a:hlinkClick xmlns:r="http://schemas.openxmlformats.org/officeDocument/2006/relationships" r:id="rId17" tooltip=" "/>
              <a:extLst>
                <a:ext uri="{FF2B5EF4-FFF2-40B4-BE49-F238E27FC236}">
                  <a16:creationId xmlns:a16="http://schemas.microsoft.com/office/drawing/2014/main" id="{00000000-0008-0000-4000-000019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Offer">
              <a:hlinkClick xmlns:r="http://schemas.openxmlformats.org/officeDocument/2006/relationships" r:id="rId18" tooltip=" "/>
              <a:extLst>
                <a:ext uri="{FF2B5EF4-FFF2-40B4-BE49-F238E27FC236}">
                  <a16:creationId xmlns:a16="http://schemas.microsoft.com/office/drawing/2014/main" id="{00000000-0008-0000-4000-00001A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Instructions">
              <a:hlinkClick xmlns:r="http://schemas.openxmlformats.org/officeDocument/2006/relationships" r:id="rId19" tooltip="Instructions"/>
              <a:extLst>
                <a:ext uri="{FF2B5EF4-FFF2-40B4-BE49-F238E27FC236}">
                  <a16:creationId xmlns:a16="http://schemas.microsoft.com/office/drawing/2014/main" id="{00000000-0008-0000-4000-00001B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Welcome">
              <a:hlinkClick xmlns:r="http://schemas.openxmlformats.org/officeDocument/2006/relationships" r:id="rId20" tooltip="Welcome"/>
              <a:extLst>
                <a:ext uri="{FF2B5EF4-FFF2-40B4-BE49-F238E27FC236}">
                  <a16:creationId xmlns:a16="http://schemas.microsoft.com/office/drawing/2014/main" id="{00000000-0008-0000-4000-00001C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9" name="Evergy Logo">
              <a:extLst>
                <a:ext uri="{FF2B5EF4-FFF2-40B4-BE49-F238E27FC236}">
                  <a16:creationId xmlns:a16="http://schemas.microsoft.com/office/drawing/2014/main" id="{00000000-0008-0000-4000-00001D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9" name="Dividers">
            <a:extLst>
              <a:ext uri="{FF2B5EF4-FFF2-40B4-BE49-F238E27FC236}">
                <a16:creationId xmlns:a16="http://schemas.microsoft.com/office/drawing/2014/main" id="{00000000-0008-0000-4000-000009000000}"/>
              </a:ext>
            </a:extLst>
          </xdr:cNvPr>
          <xdr:cNvGrpSpPr/>
        </xdr:nvGrpSpPr>
        <xdr:grpSpPr>
          <a:xfrm>
            <a:off x="1615312" y="85571"/>
            <a:ext cx="12926000" cy="423176"/>
            <a:chOff x="1615312" y="85571"/>
            <a:chExt cx="12926000" cy="423176"/>
          </a:xfrm>
        </xdr:grpSpPr>
        <xdr:cxnSp macro="">
          <xdr:nvCxnSpPr>
            <xdr:cNvPr id="12" name="Divider 4">
              <a:extLst>
                <a:ext uri="{FF2B5EF4-FFF2-40B4-BE49-F238E27FC236}">
                  <a16:creationId xmlns:a16="http://schemas.microsoft.com/office/drawing/2014/main" id="{00000000-0008-0000-4000-00000C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3">
              <a:extLst>
                <a:ext uri="{FF2B5EF4-FFF2-40B4-BE49-F238E27FC236}">
                  <a16:creationId xmlns:a16="http://schemas.microsoft.com/office/drawing/2014/main" id="{00000000-0008-0000-4000-000014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2">
              <a:extLst>
                <a:ext uri="{FF2B5EF4-FFF2-40B4-BE49-F238E27FC236}">
                  <a16:creationId xmlns:a16="http://schemas.microsoft.com/office/drawing/2014/main" id="{00000000-0008-0000-4000-000015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1">
              <a:extLst>
                <a:ext uri="{FF2B5EF4-FFF2-40B4-BE49-F238E27FC236}">
                  <a16:creationId xmlns:a16="http://schemas.microsoft.com/office/drawing/2014/main" id="{00000000-0008-0000-4000-000016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212910</xdr:colOff>
      <xdr:row>8</xdr:row>
      <xdr:rowOff>100854</xdr:rowOff>
    </xdr:from>
    <xdr:to>
      <xdr:col>3</xdr:col>
      <xdr:colOff>112057</xdr:colOff>
      <xdr:row>10</xdr:row>
      <xdr:rowOff>108922</xdr:rowOff>
    </xdr:to>
    <xdr:sp macro="" textlink="">
      <xdr:nvSpPr>
        <xdr:cNvPr id="2" name="Arrow: Left N4S5">
          <a:hlinkClick xmlns:r="http://schemas.openxmlformats.org/officeDocument/2006/relationships" r:id="rId1" tooltip="Back: Water Heating / Cooking"/>
          <a:extLst>
            <a:ext uri="{FF2B5EF4-FFF2-40B4-BE49-F238E27FC236}">
              <a16:creationId xmlns:a16="http://schemas.microsoft.com/office/drawing/2014/main" id="{00000000-0008-0000-4100-000002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0</xdr:colOff>
      <xdr:row>7</xdr:row>
      <xdr:rowOff>196515</xdr:rowOff>
    </xdr:from>
    <xdr:to>
      <xdr:col>30</xdr:col>
      <xdr:colOff>0</xdr:colOff>
      <xdr:row>11</xdr:row>
      <xdr:rowOff>1</xdr:rowOff>
    </xdr:to>
    <xdr:grpSp>
      <xdr:nvGrpSpPr>
        <xdr:cNvPr id="6" name="Measure Categories">
          <a:extLst>
            <a:ext uri="{FF2B5EF4-FFF2-40B4-BE49-F238E27FC236}">
              <a16:creationId xmlns:a16="http://schemas.microsoft.com/office/drawing/2014/main" id="{00000000-0008-0000-4100-000006000000}"/>
            </a:ext>
          </a:extLst>
        </xdr:cNvPr>
        <xdr:cNvGrpSpPr/>
      </xdr:nvGrpSpPr>
      <xdr:grpSpPr>
        <a:xfrm>
          <a:off x="1882588" y="1608456"/>
          <a:ext cx="7530353" cy="610310"/>
          <a:chOff x="1936376" y="1577107"/>
          <a:chExt cx="7745361" cy="592155"/>
        </a:xfrm>
      </xdr:grpSpPr>
      <xdr:grpSp>
        <xdr:nvGrpSpPr>
          <xdr:cNvPr id="5" name="Categories">
            <a:extLst>
              <a:ext uri="{FF2B5EF4-FFF2-40B4-BE49-F238E27FC236}">
                <a16:creationId xmlns:a16="http://schemas.microsoft.com/office/drawing/2014/main" id="{00000000-0008-0000-4100-000005000000}"/>
              </a:ext>
            </a:extLst>
          </xdr:cNvPr>
          <xdr:cNvGrpSpPr/>
        </xdr:nvGrpSpPr>
        <xdr:grpSpPr>
          <a:xfrm>
            <a:off x="1936376" y="1577107"/>
            <a:ext cx="7745361" cy="592155"/>
            <a:chOff x="1936376" y="1577107"/>
            <a:chExt cx="7745361" cy="592155"/>
          </a:xfrm>
        </xdr:grpSpPr>
        <xdr:sp macro="" textlink="">
          <xdr:nvSpPr>
            <xdr:cNvPr id="45" name="Misc">
              <a:hlinkClick xmlns:r="http://schemas.openxmlformats.org/officeDocument/2006/relationships" r:id="rId2" tooltip="Miscellaneous"/>
              <a:extLst>
                <a:ext uri="{FF2B5EF4-FFF2-40B4-BE49-F238E27FC236}">
                  <a16:creationId xmlns:a16="http://schemas.microsoft.com/office/drawing/2014/main" id="{00000000-0008-0000-4100-00002D000000}"/>
                </a:ext>
              </a:extLst>
            </xdr:cNvPr>
            <xdr:cNvSpPr/>
          </xdr:nvSpPr>
          <xdr:spPr>
            <a:xfrm>
              <a:off x="8390820" y="1577108"/>
              <a:ext cx="1290917" cy="5921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WHFS">
              <a:hlinkClick xmlns:r="http://schemas.openxmlformats.org/officeDocument/2006/relationships" r:id="rId3" tooltip="Water Heating / Food Services"/>
              <a:extLst>
                <a:ext uri="{FF2B5EF4-FFF2-40B4-BE49-F238E27FC236}">
                  <a16:creationId xmlns:a16="http://schemas.microsoft.com/office/drawing/2014/main" id="{00000000-0008-0000-4100-00002C000000}"/>
                </a:ext>
              </a:extLst>
            </xdr:cNvPr>
            <xdr:cNvSpPr/>
          </xdr:nvSpPr>
          <xdr:spPr>
            <a:xfrm>
              <a:off x="7099950" y="1577108"/>
              <a:ext cx="1290894" cy="5921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Refrigeration">
              <a:hlinkClick xmlns:r="http://schemas.openxmlformats.org/officeDocument/2006/relationships" r:id="rId4" tooltip="Refrigeration"/>
              <a:extLst>
                <a:ext uri="{FF2B5EF4-FFF2-40B4-BE49-F238E27FC236}">
                  <a16:creationId xmlns:a16="http://schemas.microsoft.com/office/drawing/2014/main" id="{00000000-0008-0000-4100-00002B000000}"/>
                </a:ext>
              </a:extLst>
            </xdr:cNvPr>
            <xdr:cNvSpPr/>
          </xdr:nvSpPr>
          <xdr:spPr>
            <a:xfrm>
              <a:off x="5809058" y="1577108"/>
              <a:ext cx="1290893" cy="5921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CAP">
              <a:hlinkClick xmlns:r="http://schemas.openxmlformats.org/officeDocument/2006/relationships" r:id="rId5" tooltip="Compressed Air / Process"/>
              <a:extLst>
                <a:ext uri="{FF2B5EF4-FFF2-40B4-BE49-F238E27FC236}">
                  <a16:creationId xmlns:a16="http://schemas.microsoft.com/office/drawing/2014/main" id="{00000000-0008-0000-4100-00002A000000}"/>
                </a:ext>
              </a:extLst>
            </xdr:cNvPr>
            <xdr:cNvSpPr/>
          </xdr:nvSpPr>
          <xdr:spPr>
            <a:xfrm>
              <a:off x="4518162" y="1577108"/>
              <a:ext cx="1290894" cy="5921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MD">
              <a:hlinkClick xmlns:r="http://schemas.openxmlformats.org/officeDocument/2006/relationships" r:id="rId6" tooltip="Motors and Drives"/>
              <a:extLst>
                <a:ext uri="{FF2B5EF4-FFF2-40B4-BE49-F238E27FC236}">
                  <a16:creationId xmlns:a16="http://schemas.microsoft.com/office/drawing/2014/main" id="{00000000-0008-0000-4100-000029000000}"/>
                </a:ext>
              </a:extLst>
            </xdr:cNvPr>
            <xdr:cNvSpPr/>
          </xdr:nvSpPr>
          <xdr:spPr>
            <a:xfrm>
              <a:off x="3227245" y="1577108"/>
              <a:ext cx="1290917" cy="5921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HVAC">
              <a:hlinkClick xmlns:r="http://schemas.openxmlformats.org/officeDocument/2006/relationships" r:id="rId7" tooltip="HVAC"/>
              <a:extLst>
                <a:ext uri="{FF2B5EF4-FFF2-40B4-BE49-F238E27FC236}">
                  <a16:creationId xmlns:a16="http://schemas.microsoft.com/office/drawing/2014/main" id="{00000000-0008-0000-4100-000028000000}"/>
                </a:ext>
              </a:extLst>
            </xdr:cNvPr>
            <xdr:cNvSpPr/>
          </xdr:nvSpPr>
          <xdr:spPr>
            <a:xfrm>
              <a:off x="1936376" y="1577107"/>
              <a:ext cx="1290893" cy="5921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4" name="Dividers">
            <a:extLst>
              <a:ext uri="{FF2B5EF4-FFF2-40B4-BE49-F238E27FC236}">
                <a16:creationId xmlns:a16="http://schemas.microsoft.com/office/drawing/2014/main" id="{00000000-0008-0000-4100-000004000000}"/>
              </a:ext>
            </a:extLst>
          </xdr:cNvPr>
          <xdr:cNvGrpSpPr/>
        </xdr:nvGrpSpPr>
        <xdr:grpSpPr>
          <a:xfrm>
            <a:off x="1940411" y="1577107"/>
            <a:ext cx="7741326" cy="493957"/>
            <a:chOff x="1940411" y="1577107"/>
            <a:chExt cx="7741326" cy="493957"/>
          </a:xfrm>
        </xdr:grpSpPr>
        <xdr:cxnSp macro="">
          <xdr:nvCxnSpPr>
            <xdr:cNvPr id="46" name="Divider 7">
              <a:extLst>
                <a:ext uri="{FF2B5EF4-FFF2-40B4-BE49-F238E27FC236}">
                  <a16:creationId xmlns:a16="http://schemas.microsoft.com/office/drawing/2014/main" id="{00000000-0008-0000-4100-00002E000000}"/>
                </a:ext>
              </a:extLst>
            </xdr:cNvPr>
            <xdr:cNvCxnSpPr/>
          </xdr:nvCxnSpPr>
          <xdr:spPr>
            <a:xfrm>
              <a:off x="9681737" y="1577107"/>
              <a:ext cx="0" cy="4894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6">
              <a:extLst>
                <a:ext uri="{FF2B5EF4-FFF2-40B4-BE49-F238E27FC236}">
                  <a16:creationId xmlns:a16="http://schemas.microsoft.com/office/drawing/2014/main" id="{00000000-0008-0000-4100-000027000000}"/>
                </a:ext>
              </a:extLst>
            </xdr:cNvPr>
            <xdr:cNvCxnSpPr/>
          </xdr:nvCxnSpPr>
          <xdr:spPr>
            <a:xfrm>
              <a:off x="8390844" y="1577107"/>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5">
              <a:extLst>
                <a:ext uri="{FF2B5EF4-FFF2-40B4-BE49-F238E27FC236}">
                  <a16:creationId xmlns:a16="http://schemas.microsoft.com/office/drawing/2014/main" id="{00000000-0008-0000-4100-000025000000}"/>
                </a:ext>
              </a:extLst>
            </xdr:cNvPr>
            <xdr:cNvCxnSpPr/>
          </xdr:nvCxnSpPr>
          <xdr:spPr>
            <a:xfrm>
              <a:off x="7102649" y="1577107"/>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4">
              <a:extLst>
                <a:ext uri="{FF2B5EF4-FFF2-40B4-BE49-F238E27FC236}">
                  <a16:creationId xmlns:a16="http://schemas.microsoft.com/office/drawing/2014/main" id="{00000000-0008-0000-4100-000026000000}"/>
                </a:ext>
              </a:extLst>
            </xdr:cNvPr>
            <xdr:cNvCxnSpPr/>
          </xdr:nvCxnSpPr>
          <xdr:spPr>
            <a:xfrm>
              <a:off x="5809057" y="1577108"/>
              <a:ext cx="0" cy="4894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3">
              <a:extLst>
                <a:ext uri="{FF2B5EF4-FFF2-40B4-BE49-F238E27FC236}">
                  <a16:creationId xmlns:a16="http://schemas.microsoft.com/office/drawing/2014/main" id="{00000000-0008-0000-4100-000024000000}"/>
                </a:ext>
              </a:extLst>
            </xdr:cNvPr>
            <xdr:cNvCxnSpPr/>
          </xdr:nvCxnSpPr>
          <xdr:spPr>
            <a:xfrm>
              <a:off x="4518163" y="1577108"/>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4100-000023000000}"/>
                </a:ext>
              </a:extLst>
            </xdr:cNvPr>
            <xdr:cNvCxnSpPr/>
          </xdr:nvCxnSpPr>
          <xdr:spPr>
            <a:xfrm>
              <a:off x="3227270" y="1577108"/>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4100-000022000000}"/>
                </a:ext>
              </a:extLst>
            </xdr:cNvPr>
            <xdr:cNvCxnSpPr/>
          </xdr:nvCxnSpPr>
          <xdr:spPr>
            <a:xfrm>
              <a:off x="1940411" y="1577108"/>
              <a:ext cx="0" cy="49395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6</xdr:col>
      <xdr:colOff>0</xdr:colOff>
      <xdr:row>3</xdr:row>
      <xdr:rowOff>815</xdr:rowOff>
    </xdr:from>
    <xdr:to>
      <xdr:col>41</xdr:col>
      <xdr:colOff>223215</xdr:colOff>
      <xdr:row>8</xdr:row>
      <xdr:rowOff>0</xdr:rowOff>
    </xdr:to>
    <xdr:grpSp>
      <xdr:nvGrpSpPr>
        <xdr:cNvPr id="3" name="Navigation">
          <a:extLst>
            <a:ext uri="{FF2B5EF4-FFF2-40B4-BE49-F238E27FC236}">
              <a16:creationId xmlns:a16="http://schemas.microsoft.com/office/drawing/2014/main" id="{00000000-0008-0000-4100-000003000000}"/>
            </a:ext>
          </a:extLst>
        </xdr:cNvPr>
        <xdr:cNvGrpSpPr/>
      </xdr:nvGrpSpPr>
      <xdr:grpSpPr>
        <a:xfrm>
          <a:off x="1882588" y="605933"/>
          <a:ext cx="11204980" cy="1007714"/>
          <a:chOff x="1576553" y="592282"/>
          <a:chExt cx="11373937" cy="986117"/>
        </a:xfrm>
      </xdr:grpSpPr>
      <xdr:cxnSp macro="">
        <xdr:nvCxnSpPr>
          <xdr:cNvPr id="11" name="Reference">
            <a:extLst>
              <a:ext uri="{FF2B5EF4-FFF2-40B4-BE49-F238E27FC236}">
                <a16:creationId xmlns:a16="http://schemas.microsoft.com/office/drawing/2014/main" id="{00000000-0008-0000-4100-00000B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2" name="7: Project Review">
            <a:hlinkClick xmlns:r="http://schemas.openxmlformats.org/officeDocument/2006/relationships" r:id="rId8" tooltip="Project Review"/>
            <a:extLst>
              <a:ext uri="{FF2B5EF4-FFF2-40B4-BE49-F238E27FC236}">
                <a16:creationId xmlns:a16="http://schemas.microsoft.com/office/drawing/2014/main" id="{00000000-0008-0000-4100-00000C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3" name="6: Payment">
            <a:hlinkClick xmlns:r="http://schemas.openxmlformats.org/officeDocument/2006/relationships" r:id="rId9" tooltip="Payment"/>
            <a:extLst>
              <a:ext uri="{FF2B5EF4-FFF2-40B4-BE49-F238E27FC236}">
                <a16:creationId xmlns:a16="http://schemas.microsoft.com/office/drawing/2014/main" id="{00000000-0008-0000-4100-00000D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4" name="5: Equipment Input">
            <a:hlinkClick xmlns:r="http://schemas.openxmlformats.org/officeDocument/2006/relationships" r:id="rId10" tooltip="Equipment Input"/>
            <a:extLst>
              <a:ext uri="{FF2B5EF4-FFF2-40B4-BE49-F238E27FC236}">
                <a16:creationId xmlns:a16="http://schemas.microsoft.com/office/drawing/2014/main" id="{00000000-0008-0000-4100-00000E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5" name="4: DTM">
            <a:hlinkClick xmlns:r="http://schemas.openxmlformats.org/officeDocument/2006/relationships" r:id="rId11" tooltip="Building Information"/>
            <a:extLst>
              <a:ext uri="{FF2B5EF4-FFF2-40B4-BE49-F238E27FC236}">
                <a16:creationId xmlns:a16="http://schemas.microsoft.com/office/drawing/2014/main" id="{00000000-0008-0000-4100-00000F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6" name="3: Customer/Bldg Info">
            <a:hlinkClick xmlns:r="http://schemas.openxmlformats.org/officeDocument/2006/relationships" r:id="rId12" tooltip="Customer Information"/>
            <a:extLst>
              <a:ext uri="{FF2B5EF4-FFF2-40B4-BE49-F238E27FC236}">
                <a16:creationId xmlns:a16="http://schemas.microsoft.com/office/drawing/2014/main" id="{00000000-0008-0000-4100-000010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7" name="2: Design Team">
            <a:hlinkClick xmlns:r="http://schemas.openxmlformats.org/officeDocument/2006/relationships" r:id="rId13" tooltip="Trade Ally/Vendor Information"/>
            <a:extLst>
              <a:ext uri="{FF2B5EF4-FFF2-40B4-BE49-F238E27FC236}">
                <a16:creationId xmlns:a16="http://schemas.microsoft.com/office/drawing/2014/main" id="{00000000-0008-0000-4100-000011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8" name="1: T&amp;C's">
            <a:hlinkClick xmlns:r="http://schemas.openxmlformats.org/officeDocument/2006/relationships" r:id="rId14" tooltip="Terms &amp; Conditions"/>
            <a:extLst>
              <a:ext uri="{FF2B5EF4-FFF2-40B4-BE49-F238E27FC236}">
                <a16:creationId xmlns:a16="http://schemas.microsoft.com/office/drawing/2014/main" id="{00000000-0008-0000-4100-000012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7" name="Header">
          <a:extLst>
            <a:ext uri="{FF2B5EF4-FFF2-40B4-BE49-F238E27FC236}">
              <a16:creationId xmlns:a16="http://schemas.microsoft.com/office/drawing/2014/main" id="{00000000-0008-0000-4100-000007000000}"/>
            </a:ext>
          </a:extLst>
        </xdr:cNvPr>
        <xdr:cNvGrpSpPr/>
      </xdr:nvGrpSpPr>
      <xdr:grpSpPr>
        <a:xfrm>
          <a:off x="0" y="0"/>
          <a:ext cx="15374471" cy="605118"/>
          <a:chOff x="0" y="0"/>
          <a:chExt cx="15822705" cy="591825"/>
        </a:xfrm>
      </xdr:grpSpPr>
      <xdr:grpSp>
        <xdr:nvGrpSpPr>
          <xdr:cNvPr id="8" name="Header">
            <a:extLst>
              <a:ext uri="{FF2B5EF4-FFF2-40B4-BE49-F238E27FC236}">
                <a16:creationId xmlns:a16="http://schemas.microsoft.com/office/drawing/2014/main" id="{00000000-0008-0000-4100-000008000000}"/>
              </a:ext>
            </a:extLst>
          </xdr:cNvPr>
          <xdr:cNvGrpSpPr/>
        </xdr:nvGrpSpPr>
        <xdr:grpSpPr>
          <a:xfrm>
            <a:off x="0" y="0"/>
            <a:ext cx="15822705" cy="591825"/>
            <a:chOff x="0" y="0"/>
            <a:chExt cx="15822705" cy="591825"/>
          </a:xfrm>
        </xdr:grpSpPr>
        <xdr:sp macro="" textlink="">
          <xdr:nvSpPr>
            <xdr:cNvPr id="22" name="Reference">
              <a:extLst>
                <a:ext uri="{FF2B5EF4-FFF2-40B4-BE49-F238E27FC236}">
                  <a16:creationId xmlns:a16="http://schemas.microsoft.com/office/drawing/2014/main" id="{00000000-0008-0000-4100-000016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Contact">
              <a:hlinkClick xmlns:r="http://schemas.openxmlformats.org/officeDocument/2006/relationships" r:id="rId15" tooltip="Contact"/>
              <a:extLst>
                <a:ext uri="{FF2B5EF4-FFF2-40B4-BE49-F238E27FC236}">
                  <a16:creationId xmlns:a16="http://schemas.microsoft.com/office/drawing/2014/main" id="{00000000-0008-0000-4100-000017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Completion">
              <a:hlinkClick xmlns:r="http://schemas.openxmlformats.org/officeDocument/2006/relationships" r:id="rId16" tooltip=" "/>
              <a:extLst>
                <a:ext uri="{FF2B5EF4-FFF2-40B4-BE49-F238E27FC236}">
                  <a16:creationId xmlns:a16="http://schemas.microsoft.com/office/drawing/2014/main" id="{00000000-0008-0000-4100-000018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Offer">
              <a:hlinkClick xmlns:r="http://schemas.openxmlformats.org/officeDocument/2006/relationships" r:id="rId17" tooltip=" "/>
              <a:extLst>
                <a:ext uri="{FF2B5EF4-FFF2-40B4-BE49-F238E27FC236}">
                  <a16:creationId xmlns:a16="http://schemas.microsoft.com/office/drawing/2014/main" id="{00000000-0008-0000-4100-000019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Instructions">
              <a:hlinkClick xmlns:r="http://schemas.openxmlformats.org/officeDocument/2006/relationships" r:id="rId18" tooltip="Instructions"/>
              <a:extLst>
                <a:ext uri="{FF2B5EF4-FFF2-40B4-BE49-F238E27FC236}">
                  <a16:creationId xmlns:a16="http://schemas.microsoft.com/office/drawing/2014/main" id="{00000000-0008-0000-4100-00001A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Welcome">
              <a:hlinkClick xmlns:r="http://schemas.openxmlformats.org/officeDocument/2006/relationships" r:id="rId19" tooltip="Welcome"/>
              <a:extLst>
                <a:ext uri="{FF2B5EF4-FFF2-40B4-BE49-F238E27FC236}">
                  <a16:creationId xmlns:a16="http://schemas.microsoft.com/office/drawing/2014/main" id="{00000000-0008-0000-4100-00001B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 name="Evergy Logo">
              <a:extLst>
                <a:ext uri="{FF2B5EF4-FFF2-40B4-BE49-F238E27FC236}">
                  <a16:creationId xmlns:a16="http://schemas.microsoft.com/office/drawing/2014/main" id="{00000000-0008-0000-4100-00001C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9" name="Dividers">
            <a:extLst>
              <a:ext uri="{FF2B5EF4-FFF2-40B4-BE49-F238E27FC236}">
                <a16:creationId xmlns:a16="http://schemas.microsoft.com/office/drawing/2014/main" id="{00000000-0008-0000-4100-000009000000}"/>
              </a:ext>
            </a:extLst>
          </xdr:cNvPr>
          <xdr:cNvGrpSpPr/>
        </xdr:nvGrpSpPr>
        <xdr:grpSpPr>
          <a:xfrm>
            <a:off x="1615312" y="85571"/>
            <a:ext cx="12926000" cy="423176"/>
            <a:chOff x="1615312" y="85571"/>
            <a:chExt cx="12926000" cy="423176"/>
          </a:xfrm>
        </xdr:grpSpPr>
        <xdr:cxnSp macro="">
          <xdr:nvCxnSpPr>
            <xdr:cNvPr id="10" name="Divider 4">
              <a:extLst>
                <a:ext uri="{FF2B5EF4-FFF2-40B4-BE49-F238E27FC236}">
                  <a16:creationId xmlns:a16="http://schemas.microsoft.com/office/drawing/2014/main" id="{00000000-0008-0000-4100-00000A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3">
              <a:extLst>
                <a:ext uri="{FF2B5EF4-FFF2-40B4-BE49-F238E27FC236}">
                  <a16:creationId xmlns:a16="http://schemas.microsoft.com/office/drawing/2014/main" id="{00000000-0008-0000-4100-00001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2">
              <a:extLst>
                <a:ext uri="{FF2B5EF4-FFF2-40B4-BE49-F238E27FC236}">
                  <a16:creationId xmlns:a16="http://schemas.microsoft.com/office/drawing/2014/main" id="{00000000-0008-0000-4100-000014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1">
              <a:extLst>
                <a:ext uri="{FF2B5EF4-FFF2-40B4-BE49-F238E27FC236}">
                  <a16:creationId xmlns:a16="http://schemas.microsoft.com/office/drawing/2014/main" id="{00000000-0008-0000-4100-000015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42</xdr:col>
      <xdr:colOff>67234</xdr:colOff>
      <xdr:row>38</xdr:row>
      <xdr:rowOff>22404</xdr:rowOff>
    </xdr:from>
    <xdr:to>
      <xdr:col>44</xdr:col>
      <xdr:colOff>313764</xdr:colOff>
      <xdr:row>41</xdr:row>
      <xdr:rowOff>179290</xdr:rowOff>
    </xdr:to>
    <xdr:grpSp>
      <xdr:nvGrpSpPr>
        <xdr:cNvPr id="5" name="Handbook">
          <a:extLst>
            <a:ext uri="{FF2B5EF4-FFF2-40B4-BE49-F238E27FC236}">
              <a16:creationId xmlns:a16="http://schemas.microsoft.com/office/drawing/2014/main" id="{00000000-0008-0000-4200-000005000000}"/>
            </a:ext>
          </a:extLst>
        </xdr:cNvPr>
        <xdr:cNvGrpSpPr/>
      </xdr:nvGrpSpPr>
      <xdr:grpSpPr>
        <a:xfrm>
          <a:off x="13245352" y="7687228"/>
          <a:ext cx="874059" cy="762003"/>
          <a:chOff x="13621869" y="7516898"/>
          <a:chExt cx="891989" cy="748557"/>
        </a:xfrm>
      </xdr:grpSpPr>
      <xdr:pic>
        <xdr:nvPicPr>
          <xdr:cNvPr id="3" name="Icon" descr="Open book">
            <a:extLst>
              <a:ext uri="{FF2B5EF4-FFF2-40B4-BE49-F238E27FC236}">
                <a16:creationId xmlns:a16="http://schemas.microsoft.com/office/drawing/2014/main" id="{00000000-0008-0000-4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13818564" y="7516898"/>
            <a:ext cx="498598" cy="545033"/>
          </a:xfrm>
          <a:prstGeom prst="rect">
            <a:avLst/>
          </a:prstGeom>
        </xdr:spPr>
      </xdr:pic>
      <xdr:sp macro="" textlink="">
        <xdr:nvSpPr>
          <xdr:cNvPr id="4" name="Text">
            <a:hlinkClick xmlns:r="http://schemas.openxmlformats.org/officeDocument/2006/relationships" r:id="rId3" tooltip="New Construction Handbook"/>
            <a:extLst>
              <a:ext uri="{FF2B5EF4-FFF2-40B4-BE49-F238E27FC236}">
                <a16:creationId xmlns:a16="http://schemas.microsoft.com/office/drawing/2014/main" id="{00000000-0008-0000-4200-000004000000}"/>
              </a:ext>
            </a:extLst>
          </xdr:cNvPr>
          <xdr:cNvSpPr txBox="1"/>
        </xdr:nvSpPr>
        <xdr:spPr>
          <a:xfrm>
            <a:off x="13621869" y="8012269"/>
            <a:ext cx="891989" cy="2531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tx1">
                    <a:lumMod val="75000"/>
                    <a:lumOff val="25000"/>
                  </a:schemeClr>
                </a:solidFill>
                <a:latin typeface="Arial" panose="020B0604020202020204" pitchFamily="34" charset="0"/>
                <a:cs typeface="Arial" panose="020B0604020202020204" pitchFamily="34" charset="0"/>
              </a:rPr>
              <a:t>Handbook</a:t>
            </a:r>
          </a:p>
        </xdr:txBody>
      </xdr:sp>
    </xdr:grpSp>
    <xdr:clientData/>
  </xdr:twoCellAnchor>
  <xdr:twoCellAnchor editAs="oneCell">
    <xdr:from>
      <xdr:col>6</xdr:col>
      <xdr:colOff>0</xdr:colOff>
      <xdr:row>3</xdr:row>
      <xdr:rowOff>815</xdr:rowOff>
    </xdr:from>
    <xdr:to>
      <xdr:col>41</xdr:col>
      <xdr:colOff>223215</xdr:colOff>
      <xdr:row>8</xdr:row>
      <xdr:rowOff>0</xdr:rowOff>
    </xdr:to>
    <xdr:grpSp>
      <xdr:nvGrpSpPr>
        <xdr:cNvPr id="2" name="Navigation">
          <a:extLst>
            <a:ext uri="{FF2B5EF4-FFF2-40B4-BE49-F238E27FC236}">
              <a16:creationId xmlns:a16="http://schemas.microsoft.com/office/drawing/2014/main" id="{00000000-0008-0000-4200-000002000000}"/>
            </a:ext>
          </a:extLst>
        </xdr:cNvPr>
        <xdr:cNvGrpSpPr/>
      </xdr:nvGrpSpPr>
      <xdr:grpSpPr>
        <a:xfrm>
          <a:off x="1882588" y="605933"/>
          <a:ext cx="11204980" cy="1007714"/>
          <a:chOff x="1576553" y="592282"/>
          <a:chExt cx="11373937" cy="986117"/>
        </a:xfrm>
      </xdr:grpSpPr>
      <xdr:cxnSp macro="">
        <xdr:nvCxnSpPr>
          <xdr:cNvPr id="7" name="Reference">
            <a:extLst>
              <a:ext uri="{FF2B5EF4-FFF2-40B4-BE49-F238E27FC236}">
                <a16:creationId xmlns:a16="http://schemas.microsoft.com/office/drawing/2014/main" id="{00000000-0008-0000-4200-000007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8" name="7: Project Review">
            <a:hlinkClick xmlns:r="http://schemas.openxmlformats.org/officeDocument/2006/relationships" r:id="rId4" tooltip="Project Review"/>
            <a:extLst>
              <a:ext uri="{FF2B5EF4-FFF2-40B4-BE49-F238E27FC236}">
                <a16:creationId xmlns:a16="http://schemas.microsoft.com/office/drawing/2014/main" id="{00000000-0008-0000-4200-000008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5" name="6: Payment">
            <a:hlinkClick xmlns:r="http://schemas.openxmlformats.org/officeDocument/2006/relationships" r:id="rId5" tooltip="Payment"/>
            <a:extLst>
              <a:ext uri="{FF2B5EF4-FFF2-40B4-BE49-F238E27FC236}">
                <a16:creationId xmlns:a16="http://schemas.microsoft.com/office/drawing/2014/main" id="{00000000-0008-0000-4200-00000F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6" name="5: Equipment Input">
            <a:hlinkClick xmlns:r="http://schemas.openxmlformats.org/officeDocument/2006/relationships" r:id="rId6" tooltip="Equipment Input"/>
            <a:extLst>
              <a:ext uri="{FF2B5EF4-FFF2-40B4-BE49-F238E27FC236}">
                <a16:creationId xmlns:a16="http://schemas.microsoft.com/office/drawing/2014/main" id="{00000000-0008-0000-4200-000010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7" name="4: DTM">
            <a:hlinkClick xmlns:r="http://schemas.openxmlformats.org/officeDocument/2006/relationships" r:id="rId7" tooltip="Building Information"/>
            <a:extLst>
              <a:ext uri="{FF2B5EF4-FFF2-40B4-BE49-F238E27FC236}">
                <a16:creationId xmlns:a16="http://schemas.microsoft.com/office/drawing/2014/main" id="{00000000-0008-0000-4200-000011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8" name="3: Customer/Bldg Info">
            <a:hlinkClick xmlns:r="http://schemas.openxmlformats.org/officeDocument/2006/relationships" r:id="rId8" tooltip="Customer Information"/>
            <a:extLst>
              <a:ext uri="{FF2B5EF4-FFF2-40B4-BE49-F238E27FC236}">
                <a16:creationId xmlns:a16="http://schemas.microsoft.com/office/drawing/2014/main" id="{00000000-0008-0000-4200-000012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9" name="2: Design Team">
            <a:hlinkClick xmlns:r="http://schemas.openxmlformats.org/officeDocument/2006/relationships" r:id="rId9" tooltip="Trade Ally/Vendor Information"/>
            <a:extLst>
              <a:ext uri="{FF2B5EF4-FFF2-40B4-BE49-F238E27FC236}">
                <a16:creationId xmlns:a16="http://schemas.microsoft.com/office/drawing/2014/main" id="{00000000-0008-0000-4200-000013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20" name="1: T&amp;C's">
            <a:hlinkClick xmlns:r="http://schemas.openxmlformats.org/officeDocument/2006/relationships" r:id="rId10" tooltip="Terms &amp; Conditions"/>
            <a:extLst>
              <a:ext uri="{FF2B5EF4-FFF2-40B4-BE49-F238E27FC236}">
                <a16:creationId xmlns:a16="http://schemas.microsoft.com/office/drawing/2014/main" id="{00000000-0008-0000-4200-000014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6" name="Header">
          <a:extLst>
            <a:ext uri="{FF2B5EF4-FFF2-40B4-BE49-F238E27FC236}">
              <a16:creationId xmlns:a16="http://schemas.microsoft.com/office/drawing/2014/main" id="{00000000-0008-0000-4200-000006000000}"/>
            </a:ext>
          </a:extLst>
        </xdr:cNvPr>
        <xdr:cNvGrpSpPr/>
      </xdr:nvGrpSpPr>
      <xdr:grpSpPr>
        <a:xfrm>
          <a:off x="0" y="0"/>
          <a:ext cx="15374471" cy="605118"/>
          <a:chOff x="0" y="0"/>
          <a:chExt cx="15822705" cy="591825"/>
        </a:xfrm>
      </xdr:grpSpPr>
      <xdr:grpSp>
        <xdr:nvGrpSpPr>
          <xdr:cNvPr id="9" name="Header">
            <a:extLst>
              <a:ext uri="{FF2B5EF4-FFF2-40B4-BE49-F238E27FC236}">
                <a16:creationId xmlns:a16="http://schemas.microsoft.com/office/drawing/2014/main" id="{00000000-0008-0000-4200-000009000000}"/>
              </a:ext>
            </a:extLst>
          </xdr:cNvPr>
          <xdr:cNvGrpSpPr/>
        </xdr:nvGrpSpPr>
        <xdr:grpSpPr>
          <a:xfrm>
            <a:off x="0" y="0"/>
            <a:ext cx="15822705" cy="591825"/>
            <a:chOff x="0" y="0"/>
            <a:chExt cx="15822705" cy="591825"/>
          </a:xfrm>
        </xdr:grpSpPr>
        <xdr:sp macro="" textlink="">
          <xdr:nvSpPr>
            <xdr:cNvPr id="21" name="Reference">
              <a:extLst>
                <a:ext uri="{FF2B5EF4-FFF2-40B4-BE49-F238E27FC236}">
                  <a16:creationId xmlns:a16="http://schemas.microsoft.com/office/drawing/2014/main" id="{00000000-0008-0000-4200-000015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ntact">
              <a:hlinkClick xmlns:r="http://schemas.openxmlformats.org/officeDocument/2006/relationships" r:id="rId11" tooltip="Contact"/>
              <a:extLst>
                <a:ext uri="{FF2B5EF4-FFF2-40B4-BE49-F238E27FC236}">
                  <a16:creationId xmlns:a16="http://schemas.microsoft.com/office/drawing/2014/main" id="{00000000-0008-0000-4200-000016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Completion">
              <a:hlinkClick xmlns:r="http://schemas.openxmlformats.org/officeDocument/2006/relationships" r:id="rId12" tooltip=" "/>
              <a:extLst>
                <a:ext uri="{FF2B5EF4-FFF2-40B4-BE49-F238E27FC236}">
                  <a16:creationId xmlns:a16="http://schemas.microsoft.com/office/drawing/2014/main" id="{00000000-0008-0000-4200-000017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Offer">
              <a:hlinkClick xmlns:r="http://schemas.openxmlformats.org/officeDocument/2006/relationships" r:id="rId13" tooltip=" "/>
              <a:extLst>
                <a:ext uri="{FF2B5EF4-FFF2-40B4-BE49-F238E27FC236}">
                  <a16:creationId xmlns:a16="http://schemas.microsoft.com/office/drawing/2014/main" id="{00000000-0008-0000-4200-000018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Instructions">
              <a:hlinkClick xmlns:r="http://schemas.openxmlformats.org/officeDocument/2006/relationships" r:id="rId14" tooltip="Instructions"/>
              <a:extLst>
                <a:ext uri="{FF2B5EF4-FFF2-40B4-BE49-F238E27FC236}">
                  <a16:creationId xmlns:a16="http://schemas.microsoft.com/office/drawing/2014/main" id="{00000000-0008-0000-4200-000019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Welcome">
              <a:hlinkClick xmlns:r="http://schemas.openxmlformats.org/officeDocument/2006/relationships" r:id="rId15" tooltip="Welcome"/>
              <a:extLst>
                <a:ext uri="{FF2B5EF4-FFF2-40B4-BE49-F238E27FC236}">
                  <a16:creationId xmlns:a16="http://schemas.microsoft.com/office/drawing/2014/main" id="{00000000-0008-0000-4200-00001A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7" name="Evergy Logo">
              <a:extLst>
                <a:ext uri="{FF2B5EF4-FFF2-40B4-BE49-F238E27FC236}">
                  <a16:creationId xmlns:a16="http://schemas.microsoft.com/office/drawing/2014/main" id="{00000000-0008-0000-4200-00001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10" name="Dividers">
            <a:extLst>
              <a:ext uri="{FF2B5EF4-FFF2-40B4-BE49-F238E27FC236}">
                <a16:creationId xmlns:a16="http://schemas.microsoft.com/office/drawing/2014/main" id="{00000000-0008-0000-4200-00000A000000}"/>
              </a:ext>
            </a:extLst>
          </xdr:cNvPr>
          <xdr:cNvGrpSpPr/>
        </xdr:nvGrpSpPr>
        <xdr:grpSpPr>
          <a:xfrm>
            <a:off x="1615312" y="85571"/>
            <a:ext cx="12926000" cy="423176"/>
            <a:chOff x="1615312" y="85571"/>
            <a:chExt cx="12926000" cy="423176"/>
          </a:xfrm>
        </xdr:grpSpPr>
        <xdr:cxnSp macro="">
          <xdr:nvCxnSpPr>
            <xdr:cNvPr id="11" name="Divider 4">
              <a:extLst>
                <a:ext uri="{FF2B5EF4-FFF2-40B4-BE49-F238E27FC236}">
                  <a16:creationId xmlns:a16="http://schemas.microsoft.com/office/drawing/2014/main" id="{00000000-0008-0000-4200-00000B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3">
              <a:extLst>
                <a:ext uri="{FF2B5EF4-FFF2-40B4-BE49-F238E27FC236}">
                  <a16:creationId xmlns:a16="http://schemas.microsoft.com/office/drawing/2014/main" id="{00000000-0008-0000-4200-00000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2">
              <a:extLst>
                <a:ext uri="{FF2B5EF4-FFF2-40B4-BE49-F238E27FC236}">
                  <a16:creationId xmlns:a16="http://schemas.microsoft.com/office/drawing/2014/main" id="{00000000-0008-0000-4200-00000D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1">
              <a:extLst>
                <a:ext uri="{FF2B5EF4-FFF2-40B4-BE49-F238E27FC236}">
                  <a16:creationId xmlns:a16="http://schemas.microsoft.com/office/drawing/2014/main" id="{00000000-0008-0000-4200-00000E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295275</xdr:colOff>
          <xdr:row>21</xdr:row>
          <xdr:rowOff>171450</xdr:rowOff>
        </xdr:from>
        <xdr:to>
          <xdr:col>5</xdr:col>
          <xdr:colOff>190500</xdr:colOff>
          <xdr:row>24</xdr:row>
          <xdr:rowOff>38100</xdr:rowOff>
        </xdr:to>
        <xdr:sp macro="" textlink="">
          <xdr:nvSpPr>
            <xdr:cNvPr id="108545" name="N05S01TB1" hidden="1">
              <a:extLst>
                <a:ext uri="{63B3BB69-23CF-44E3-9099-C40C66FF867C}">
                  <a14:compatExt spid="_x0000_s108545"/>
                </a:ext>
                <a:ext uri="{FF2B5EF4-FFF2-40B4-BE49-F238E27FC236}">
                  <a16:creationId xmlns:a16="http://schemas.microsoft.com/office/drawing/2014/main" id="{00000000-0008-0000-2000-000001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42</xdr:col>
      <xdr:colOff>145676</xdr:colOff>
      <xdr:row>8</xdr:row>
      <xdr:rowOff>100854</xdr:rowOff>
    </xdr:from>
    <xdr:to>
      <xdr:col>44</xdr:col>
      <xdr:colOff>48499</xdr:colOff>
      <xdr:row>10</xdr:row>
      <xdr:rowOff>108922</xdr:rowOff>
    </xdr:to>
    <xdr:sp macro="" textlink="">
      <xdr:nvSpPr>
        <xdr:cNvPr id="3" name="Arrow: Right 2">
          <a:hlinkClick xmlns:r="http://schemas.openxmlformats.org/officeDocument/2006/relationships" r:id="rId1" tooltip="Forward: Project Review"/>
          <a:extLst>
            <a:ext uri="{FF2B5EF4-FFF2-40B4-BE49-F238E27FC236}">
              <a16:creationId xmlns:a16="http://schemas.microsoft.com/office/drawing/2014/main" id="{00000000-0008-0000-4300-000003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4" name="Arrow: Left 3">
          <a:hlinkClick xmlns:r="http://schemas.openxmlformats.org/officeDocument/2006/relationships" r:id="rId2" tooltip="Back: Equipment Input"/>
          <a:extLst>
            <a:ext uri="{FF2B5EF4-FFF2-40B4-BE49-F238E27FC236}">
              <a16:creationId xmlns:a16="http://schemas.microsoft.com/office/drawing/2014/main" id="{00000000-0008-0000-4300-000004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0</xdr:colOff>
      <xdr:row>3</xdr:row>
      <xdr:rowOff>815</xdr:rowOff>
    </xdr:from>
    <xdr:to>
      <xdr:col>41</xdr:col>
      <xdr:colOff>223215</xdr:colOff>
      <xdr:row>8</xdr:row>
      <xdr:rowOff>0</xdr:rowOff>
    </xdr:to>
    <xdr:grpSp>
      <xdr:nvGrpSpPr>
        <xdr:cNvPr id="2" name="Navigation">
          <a:extLst>
            <a:ext uri="{FF2B5EF4-FFF2-40B4-BE49-F238E27FC236}">
              <a16:creationId xmlns:a16="http://schemas.microsoft.com/office/drawing/2014/main" id="{00000000-0008-0000-4300-000002000000}"/>
            </a:ext>
          </a:extLst>
        </xdr:cNvPr>
        <xdr:cNvGrpSpPr/>
      </xdr:nvGrpSpPr>
      <xdr:grpSpPr>
        <a:xfrm>
          <a:off x="1882588" y="605933"/>
          <a:ext cx="11204980" cy="1007714"/>
          <a:chOff x="1576553" y="592282"/>
          <a:chExt cx="11373937" cy="986117"/>
        </a:xfrm>
      </xdr:grpSpPr>
      <xdr:cxnSp macro="">
        <xdr:nvCxnSpPr>
          <xdr:cNvPr id="12" name="Reference">
            <a:extLst>
              <a:ext uri="{FF2B5EF4-FFF2-40B4-BE49-F238E27FC236}">
                <a16:creationId xmlns:a16="http://schemas.microsoft.com/office/drawing/2014/main" id="{00000000-0008-0000-4300-00000C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3" name="7: Project Review">
            <a:hlinkClick xmlns:r="http://schemas.openxmlformats.org/officeDocument/2006/relationships" r:id="rId3" tooltip="Project Review"/>
            <a:extLst>
              <a:ext uri="{FF2B5EF4-FFF2-40B4-BE49-F238E27FC236}">
                <a16:creationId xmlns:a16="http://schemas.microsoft.com/office/drawing/2014/main" id="{00000000-0008-0000-4300-00000D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4" name="6: Payment">
            <a:hlinkClick xmlns:r="http://schemas.openxmlformats.org/officeDocument/2006/relationships" r:id="rId4" tooltip="Payment"/>
            <a:extLst>
              <a:ext uri="{FF2B5EF4-FFF2-40B4-BE49-F238E27FC236}">
                <a16:creationId xmlns:a16="http://schemas.microsoft.com/office/drawing/2014/main" id="{00000000-0008-0000-4300-00000E000000}"/>
              </a:ext>
            </a:extLst>
          </xdr:cNvPr>
          <xdr:cNvSpPr/>
        </xdr:nvSpPr>
        <xdr:spPr>
          <a:xfrm>
            <a:off x="9541494"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5" name="5: Equipment Input">
            <a:hlinkClick xmlns:r="http://schemas.openxmlformats.org/officeDocument/2006/relationships" r:id="rId5" tooltip="Equipment Input"/>
            <a:extLst>
              <a:ext uri="{FF2B5EF4-FFF2-40B4-BE49-F238E27FC236}">
                <a16:creationId xmlns:a16="http://schemas.microsoft.com/office/drawing/2014/main" id="{00000000-0008-0000-4300-00000F000000}"/>
              </a:ext>
            </a:extLst>
          </xdr:cNvPr>
          <xdr:cNvSpPr/>
        </xdr:nvSpPr>
        <xdr:spPr>
          <a:xfrm>
            <a:off x="7948506"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6" name="4: DTM">
            <a:hlinkClick xmlns:r="http://schemas.openxmlformats.org/officeDocument/2006/relationships" r:id="rId6" tooltip="Building Information"/>
            <a:extLst>
              <a:ext uri="{FF2B5EF4-FFF2-40B4-BE49-F238E27FC236}">
                <a16:creationId xmlns:a16="http://schemas.microsoft.com/office/drawing/2014/main" id="{00000000-0008-0000-4300-000010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7" name="3: Customer/Bldg Info">
            <a:hlinkClick xmlns:r="http://schemas.openxmlformats.org/officeDocument/2006/relationships" r:id="rId7" tooltip="Customer Information"/>
            <a:extLst>
              <a:ext uri="{FF2B5EF4-FFF2-40B4-BE49-F238E27FC236}">
                <a16:creationId xmlns:a16="http://schemas.microsoft.com/office/drawing/2014/main" id="{00000000-0008-0000-4300-000011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8" name="2: Design Team">
            <a:hlinkClick xmlns:r="http://schemas.openxmlformats.org/officeDocument/2006/relationships" r:id="rId8" tooltip="Trade Ally/Vendor Information"/>
            <a:extLst>
              <a:ext uri="{FF2B5EF4-FFF2-40B4-BE49-F238E27FC236}">
                <a16:creationId xmlns:a16="http://schemas.microsoft.com/office/drawing/2014/main" id="{00000000-0008-0000-4300-000012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9" name="1: T&amp;C's">
            <a:hlinkClick xmlns:r="http://schemas.openxmlformats.org/officeDocument/2006/relationships" r:id="rId9" tooltip="Terms &amp; Conditions"/>
            <a:extLst>
              <a:ext uri="{FF2B5EF4-FFF2-40B4-BE49-F238E27FC236}">
                <a16:creationId xmlns:a16="http://schemas.microsoft.com/office/drawing/2014/main" id="{00000000-0008-0000-4300-000013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5" name="Header">
          <a:extLst>
            <a:ext uri="{FF2B5EF4-FFF2-40B4-BE49-F238E27FC236}">
              <a16:creationId xmlns:a16="http://schemas.microsoft.com/office/drawing/2014/main" id="{00000000-0008-0000-4300-000005000000}"/>
            </a:ext>
          </a:extLst>
        </xdr:cNvPr>
        <xdr:cNvGrpSpPr/>
      </xdr:nvGrpSpPr>
      <xdr:grpSpPr>
        <a:xfrm>
          <a:off x="0" y="0"/>
          <a:ext cx="15374471" cy="605118"/>
          <a:chOff x="0" y="0"/>
          <a:chExt cx="15822705" cy="591825"/>
        </a:xfrm>
      </xdr:grpSpPr>
      <xdr:grpSp>
        <xdr:nvGrpSpPr>
          <xdr:cNvPr id="6" name="Header">
            <a:extLst>
              <a:ext uri="{FF2B5EF4-FFF2-40B4-BE49-F238E27FC236}">
                <a16:creationId xmlns:a16="http://schemas.microsoft.com/office/drawing/2014/main" id="{00000000-0008-0000-4300-000006000000}"/>
              </a:ext>
            </a:extLst>
          </xdr:cNvPr>
          <xdr:cNvGrpSpPr/>
        </xdr:nvGrpSpPr>
        <xdr:grpSpPr>
          <a:xfrm>
            <a:off x="0" y="0"/>
            <a:ext cx="15822705" cy="591825"/>
            <a:chOff x="0" y="0"/>
            <a:chExt cx="15822705" cy="591825"/>
          </a:xfrm>
        </xdr:grpSpPr>
        <xdr:sp macro="" textlink="">
          <xdr:nvSpPr>
            <xdr:cNvPr id="20" name="Reference">
              <a:extLst>
                <a:ext uri="{FF2B5EF4-FFF2-40B4-BE49-F238E27FC236}">
                  <a16:creationId xmlns:a16="http://schemas.microsoft.com/office/drawing/2014/main" id="{00000000-0008-0000-4300-000014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Contact">
              <a:hlinkClick xmlns:r="http://schemas.openxmlformats.org/officeDocument/2006/relationships" r:id="rId10" tooltip="Contact"/>
              <a:extLst>
                <a:ext uri="{FF2B5EF4-FFF2-40B4-BE49-F238E27FC236}">
                  <a16:creationId xmlns:a16="http://schemas.microsoft.com/office/drawing/2014/main" id="{00000000-0008-0000-4300-000015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mpletion">
              <a:hlinkClick xmlns:r="http://schemas.openxmlformats.org/officeDocument/2006/relationships" r:id="rId11" tooltip=" "/>
              <a:extLst>
                <a:ext uri="{FF2B5EF4-FFF2-40B4-BE49-F238E27FC236}">
                  <a16:creationId xmlns:a16="http://schemas.microsoft.com/office/drawing/2014/main" id="{00000000-0008-0000-4300-000016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Offer">
              <a:hlinkClick xmlns:r="http://schemas.openxmlformats.org/officeDocument/2006/relationships" r:id="rId12" tooltip=" "/>
              <a:extLst>
                <a:ext uri="{FF2B5EF4-FFF2-40B4-BE49-F238E27FC236}">
                  <a16:creationId xmlns:a16="http://schemas.microsoft.com/office/drawing/2014/main" id="{00000000-0008-0000-4300-000017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Instructions">
              <a:hlinkClick xmlns:r="http://schemas.openxmlformats.org/officeDocument/2006/relationships" r:id="rId13" tooltip="Instructions"/>
              <a:extLst>
                <a:ext uri="{FF2B5EF4-FFF2-40B4-BE49-F238E27FC236}">
                  <a16:creationId xmlns:a16="http://schemas.microsoft.com/office/drawing/2014/main" id="{00000000-0008-0000-4300-000018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Welcome">
              <a:hlinkClick xmlns:r="http://schemas.openxmlformats.org/officeDocument/2006/relationships" r:id="rId14" tooltip="Welcome"/>
              <a:extLst>
                <a:ext uri="{FF2B5EF4-FFF2-40B4-BE49-F238E27FC236}">
                  <a16:creationId xmlns:a16="http://schemas.microsoft.com/office/drawing/2014/main" id="{00000000-0008-0000-4300-000019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6" name="Evergy Logo">
              <a:extLst>
                <a:ext uri="{FF2B5EF4-FFF2-40B4-BE49-F238E27FC236}">
                  <a16:creationId xmlns:a16="http://schemas.microsoft.com/office/drawing/2014/main" id="{00000000-0008-0000-4300-00001A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7" name="Dividers">
            <a:extLst>
              <a:ext uri="{FF2B5EF4-FFF2-40B4-BE49-F238E27FC236}">
                <a16:creationId xmlns:a16="http://schemas.microsoft.com/office/drawing/2014/main" id="{00000000-0008-0000-4300-000007000000}"/>
              </a:ext>
            </a:extLst>
          </xdr:cNvPr>
          <xdr:cNvGrpSpPr/>
        </xdr:nvGrpSpPr>
        <xdr:grpSpPr>
          <a:xfrm>
            <a:off x="1615312" y="85571"/>
            <a:ext cx="12926000" cy="423176"/>
            <a:chOff x="1615312" y="85571"/>
            <a:chExt cx="12926000" cy="423176"/>
          </a:xfrm>
        </xdr:grpSpPr>
        <xdr:cxnSp macro="">
          <xdr:nvCxnSpPr>
            <xdr:cNvPr id="8" name="Divider 4">
              <a:extLst>
                <a:ext uri="{FF2B5EF4-FFF2-40B4-BE49-F238E27FC236}">
                  <a16:creationId xmlns:a16="http://schemas.microsoft.com/office/drawing/2014/main" id="{00000000-0008-0000-4300-000008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4300-00000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4300-00000A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4300-00000B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26</xdr:col>
      <xdr:colOff>0</xdr:colOff>
      <xdr:row>17</xdr:row>
      <xdr:rowOff>199696</xdr:rowOff>
    </xdr:from>
    <xdr:to>
      <xdr:col>33</xdr:col>
      <xdr:colOff>5932</xdr:colOff>
      <xdr:row>31</xdr:row>
      <xdr:rowOff>30731</xdr:rowOff>
    </xdr:to>
    <xdr:grpSp>
      <xdr:nvGrpSpPr>
        <xdr:cNvPr id="39" name="Measure Categories">
          <a:extLst>
            <a:ext uri="{FF2B5EF4-FFF2-40B4-BE49-F238E27FC236}">
              <a16:creationId xmlns:a16="http://schemas.microsoft.com/office/drawing/2014/main" id="{00000000-0008-0000-4400-000027000000}"/>
            </a:ext>
          </a:extLst>
        </xdr:cNvPr>
        <xdr:cNvGrpSpPr/>
      </xdr:nvGrpSpPr>
      <xdr:grpSpPr>
        <a:xfrm>
          <a:off x="8157882" y="3628696"/>
          <a:ext cx="2202285" cy="2654917"/>
          <a:chOff x="8382233" y="3550694"/>
          <a:chExt cx="2271838" cy="2593758"/>
        </a:xfrm>
      </xdr:grpSpPr>
      <xdr:sp macro="" textlink="">
        <xdr:nvSpPr>
          <xdr:cNvPr id="73" name="WBP">
            <a:hlinkClick xmlns:r="http://schemas.openxmlformats.org/officeDocument/2006/relationships" r:id="rId1" tooltip="View: Whole Building Performance"/>
            <a:extLst>
              <a:ext uri="{FF2B5EF4-FFF2-40B4-BE49-F238E27FC236}">
                <a16:creationId xmlns:a16="http://schemas.microsoft.com/office/drawing/2014/main" id="{00000000-0008-0000-4400-000049000000}"/>
              </a:ext>
            </a:extLst>
          </xdr:cNvPr>
          <xdr:cNvSpPr/>
        </xdr:nvSpPr>
        <xdr:spPr>
          <a:xfrm>
            <a:off x="8382233" y="5950213"/>
            <a:ext cx="2259020" cy="194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7" name="Std Categories">
            <a:extLst>
              <a:ext uri="{FF2B5EF4-FFF2-40B4-BE49-F238E27FC236}">
                <a16:creationId xmlns:a16="http://schemas.microsoft.com/office/drawing/2014/main" id="{00000000-0008-0000-4400-000011000000}"/>
              </a:ext>
            </a:extLst>
          </xdr:cNvPr>
          <xdr:cNvGrpSpPr/>
        </xdr:nvGrpSpPr>
        <xdr:grpSpPr>
          <a:xfrm>
            <a:off x="8382233" y="5326071"/>
            <a:ext cx="2271838" cy="386231"/>
            <a:chOff x="8382233" y="5326071"/>
            <a:chExt cx="2271838" cy="386231"/>
          </a:xfrm>
        </xdr:grpSpPr>
        <xdr:sp macro="" textlink="">
          <xdr:nvSpPr>
            <xdr:cNvPr id="72" name="Std WHFS">
              <a:hlinkClick xmlns:r="http://schemas.openxmlformats.org/officeDocument/2006/relationships" r:id="rId2" tooltip="View: Standard Food Services"/>
              <a:extLst>
                <a:ext uri="{FF2B5EF4-FFF2-40B4-BE49-F238E27FC236}">
                  <a16:creationId xmlns:a16="http://schemas.microsoft.com/office/drawing/2014/main" id="{00000000-0008-0000-4400-000048000000}"/>
                </a:ext>
              </a:extLst>
            </xdr:cNvPr>
            <xdr:cNvSpPr/>
          </xdr:nvSpPr>
          <xdr:spPr>
            <a:xfrm>
              <a:off x="8382233" y="5523252"/>
              <a:ext cx="2271838" cy="189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Std HVAC">
              <a:hlinkClick xmlns:r="http://schemas.openxmlformats.org/officeDocument/2006/relationships" r:id="rId3" tooltip="View: Standard HVAC"/>
              <a:extLst>
                <a:ext uri="{FF2B5EF4-FFF2-40B4-BE49-F238E27FC236}">
                  <a16:creationId xmlns:a16="http://schemas.microsoft.com/office/drawing/2014/main" id="{00000000-0008-0000-4400-000016000000}"/>
                </a:ext>
              </a:extLst>
            </xdr:cNvPr>
            <xdr:cNvSpPr/>
          </xdr:nvSpPr>
          <xdr:spPr>
            <a:xfrm>
              <a:off x="8382233" y="5326071"/>
              <a:ext cx="2259018" cy="197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6" name="Ltg Categories" hidden="1">
            <a:extLst>
              <a:ext uri="{FF2B5EF4-FFF2-40B4-BE49-F238E27FC236}">
                <a16:creationId xmlns:a16="http://schemas.microsoft.com/office/drawing/2014/main" id="{00000000-0008-0000-4400-000010000000}"/>
              </a:ext>
            </a:extLst>
          </xdr:cNvPr>
          <xdr:cNvGrpSpPr/>
        </xdr:nvGrpSpPr>
        <xdr:grpSpPr>
          <a:xfrm>
            <a:off x="8384365" y="5325332"/>
            <a:ext cx="2263588" cy="394364"/>
            <a:chOff x="8384365" y="5325332"/>
            <a:chExt cx="2263588" cy="394364"/>
          </a:xfrm>
        </xdr:grpSpPr>
        <xdr:sp macro="" textlink="">
          <xdr:nvSpPr>
            <xdr:cNvPr id="66" name="Lighting - Grow">
              <a:hlinkClick xmlns:r="http://schemas.openxmlformats.org/officeDocument/2006/relationships" r:id="rId4" tooltip="View: Interior Lighting - Grow Facility"/>
              <a:extLst>
                <a:ext uri="{FF2B5EF4-FFF2-40B4-BE49-F238E27FC236}">
                  <a16:creationId xmlns:a16="http://schemas.microsoft.com/office/drawing/2014/main" id="{00000000-0008-0000-4400-000042000000}"/>
                </a:ext>
              </a:extLst>
            </xdr:cNvPr>
            <xdr:cNvSpPr/>
          </xdr:nvSpPr>
          <xdr:spPr>
            <a:xfrm>
              <a:off x="8388933" y="5522514"/>
              <a:ext cx="2259020" cy="1971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Lighting - Trad.">
              <a:hlinkClick xmlns:r="http://schemas.openxmlformats.org/officeDocument/2006/relationships" r:id="rId5" tooltip="View: Interior Lighting - Traditional Spaces"/>
              <a:extLst>
                <a:ext uri="{FF2B5EF4-FFF2-40B4-BE49-F238E27FC236}">
                  <a16:creationId xmlns:a16="http://schemas.microsoft.com/office/drawing/2014/main" id="{00000000-0008-0000-4400-000041000000}"/>
                </a:ext>
              </a:extLst>
            </xdr:cNvPr>
            <xdr:cNvSpPr/>
          </xdr:nvSpPr>
          <xdr:spPr>
            <a:xfrm>
              <a:off x="8384365" y="5325332"/>
              <a:ext cx="2263588" cy="1971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5" name="Custom Categories">
            <a:extLst>
              <a:ext uri="{FF2B5EF4-FFF2-40B4-BE49-F238E27FC236}">
                <a16:creationId xmlns:a16="http://schemas.microsoft.com/office/drawing/2014/main" id="{00000000-0008-0000-4400-00000F000000}"/>
              </a:ext>
            </a:extLst>
          </xdr:cNvPr>
          <xdr:cNvGrpSpPr/>
        </xdr:nvGrpSpPr>
        <xdr:grpSpPr>
          <a:xfrm>
            <a:off x="8388932" y="3550694"/>
            <a:ext cx="2259021" cy="1183092"/>
            <a:chOff x="8388932" y="3550694"/>
            <a:chExt cx="2259021" cy="1183092"/>
          </a:xfrm>
        </xdr:grpSpPr>
        <xdr:sp macro="" textlink="">
          <xdr:nvSpPr>
            <xdr:cNvPr id="71" name="Custom Misc">
              <a:hlinkClick xmlns:r="http://schemas.openxmlformats.org/officeDocument/2006/relationships" r:id="rId6" tooltip="View: Custom Miscellaneous"/>
              <a:extLst>
                <a:ext uri="{FF2B5EF4-FFF2-40B4-BE49-F238E27FC236}">
                  <a16:creationId xmlns:a16="http://schemas.microsoft.com/office/drawing/2014/main" id="{00000000-0008-0000-4400-000047000000}"/>
                </a:ext>
              </a:extLst>
            </xdr:cNvPr>
            <xdr:cNvSpPr/>
          </xdr:nvSpPr>
          <xdr:spPr>
            <a:xfrm>
              <a:off x="8388932" y="4536605"/>
              <a:ext cx="2259020" cy="197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 name="Custom WHFS">
              <a:hlinkClick xmlns:r="http://schemas.openxmlformats.org/officeDocument/2006/relationships" r:id="rId7" tooltip="View: Custom Water Heating / Food Services"/>
              <a:extLst>
                <a:ext uri="{FF2B5EF4-FFF2-40B4-BE49-F238E27FC236}">
                  <a16:creationId xmlns:a16="http://schemas.microsoft.com/office/drawing/2014/main" id="{00000000-0008-0000-4400-000046000000}"/>
                </a:ext>
              </a:extLst>
            </xdr:cNvPr>
            <xdr:cNvSpPr/>
          </xdr:nvSpPr>
          <xdr:spPr>
            <a:xfrm>
              <a:off x="8388932" y="4339423"/>
              <a:ext cx="2259020" cy="1971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Custom Refrigeration">
              <a:hlinkClick xmlns:r="http://schemas.openxmlformats.org/officeDocument/2006/relationships" r:id="rId8" tooltip="View: Custom Refrigeration"/>
              <a:extLst>
                <a:ext uri="{FF2B5EF4-FFF2-40B4-BE49-F238E27FC236}">
                  <a16:creationId xmlns:a16="http://schemas.microsoft.com/office/drawing/2014/main" id="{00000000-0008-0000-4400-000045000000}"/>
                </a:ext>
              </a:extLst>
            </xdr:cNvPr>
            <xdr:cNvSpPr/>
          </xdr:nvSpPr>
          <xdr:spPr>
            <a:xfrm>
              <a:off x="8388932" y="4150374"/>
              <a:ext cx="2259020" cy="1890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Custom CAP">
              <a:hlinkClick xmlns:r="http://schemas.openxmlformats.org/officeDocument/2006/relationships" r:id="rId9" tooltip="View: Custom Compressed Air / Process"/>
              <a:extLst>
                <a:ext uri="{FF2B5EF4-FFF2-40B4-BE49-F238E27FC236}">
                  <a16:creationId xmlns:a16="http://schemas.microsoft.com/office/drawing/2014/main" id="{00000000-0008-0000-4400-000044000000}"/>
                </a:ext>
              </a:extLst>
            </xdr:cNvPr>
            <xdr:cNvSpPr/>
          </xdr:nvSpPr>
          <xdr:spPr>
            <a:xfrm>
              <a:off x="8388934" y="3945059"/>
              <a:ext cx="2259019" cy="1971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ustom MD">
              <a:hlinkClick xmlns:r="http://schemas.openxmlformats.org/officeDocument/2006/relationships" r:id="rId10" tooltip="View: Custom Motors and Drives"/>
              <a:extLst>
                <a:ext uri="{FF2B5EF4-FFF2-40B4-BE49-F238E27FC236}">
                  <a16:creationId xmlns:a16="http://schemas.microsoft.com/office/drawing/2014/main" id="{00000000-0008-0000-4400-000043000000}"/>
                </a:ext>
              </a:extLst>
            </xdr:cNvPr>
            <xdr:cNvSpPr/>
          </xdr:nvSpPr>
          <xdr:spPr>
            <a:xfrm>
              <a:off x="8388932" y="3747876"/>
              <a:ext cx="2259020" cy="1971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Custom HVAC">
              <a:hlinkClick xmlns:r="http://schemas.openxmlformats.org/officeDocument/2006/relationships" r:id="rId11" tooltip="View: Custom HVAC"/>
              <a:extLst>
                <a:ext uri="{FF2B5EF4-FFF2-40B4-BE49-F238E27FC236}">
                  <a16:creationId xmlns:a16="http://schemas.microsoft.com/office/drawing/2014/main" id="{00000000-0008-0000-4400-00001D000000}"/>
                </a:ext>
              </a:extLst>
            </xdr:cNvPr>
            <xdr:cNvSpPr/>
          </xdr:nvSpPr>
          <xdr:spPr>
            <a:xfrm>
              <a:off x="8388932" y="3550694"/>
              <a:ext cx="2259019" cy="1971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a:t>
              </a:r>
            </a:p>
          </xdr:txBody>
        </xdr:sp>
      </xdr:grpSp>
    </xdr:grpSp>
    <xdr:clientData/>
  </xdr:twoCellAnchor>
  <xdr:twoCellAnchor editAs="oneCell">
    <xdr:from>
      <xdr:col>26</xdr:col>
      <xdr:colOff>11205</xdr:colOff>
      <xdr:row>12</xdr:row>
      <xdr:rowOff>162485</xdr:rowOff>
    </xdr:from>
    <xdr:to>
      <xdr:col>34</xdr:col>
      <xdr:colOff>156881</xdr:colOff>
      <xdr:row>14</xdr:row>
      <xdr:rowOff>124834</xdr:rowOff>
    </xdr:to>
    <xdr:grpSp>
      <xdr:nvGrpSpPr>
        <xdr:cNvPr id="13" name="Incentive Report">
          <a:extLst>
            <a:ext uri="{FF2B5EF4-FFF2-40B4-BE49-F238E27FC236}">
              <a16:creationId xmlns:a16="http://schemas.microsoft.com/office/drawing/2014/main" id="{00000000-0008-0000-4400-00000D000000}"/>
            </a:ext>
          </a:extLst>
        </xdr:cNvPr>
        <xdr:cNvGrpSpPr/>
      </xdr:nvGrpSpPr>
      <xdr:grpSpPr>
        <a:xfrm>
          <a:off x="8169087" y="2582956"/>
          <a:ext cx="2655794" cy="365760"/>
          <a:chOff x="8402170" y="2529167"/>
          <a:chExt cx="2727511" cy="356796"/>
        </a:xfrm>
      </xdr:grpSpPr>
      <xdr:sp macro="" textlink="">
        <xdr:nvSpPr>
          <xdr:cNvPr id="45" name="Button">
            <a:hlinkClick xmlns:r="http://schemas.openxmlformats.org/officeDocument/2006/relationships" r:id="rId12" tooltip="View Incentive Report"/>
            <a:extLst>
              <a:ext uri="{FF2B5EF4-FFF2-40B4-BE49-F238E27FC236}">
                <a16:creationId xmlns:a16="http://schemas.microsoft.com/office/drawing/2014/main" id="{00000000-0008-0000-4400-00002D000000}"/>
              </a:ext>
            </a:extLst>
          </xdr:cNvPr>
          <xdr:cNvSpPr/>
        </xdr:nvSpPr>
        <xdr:spPr>
          <a:xfrm>
            <a:off x="8402170" y="2529167"/>
            <a:ext cx="2727511" cy="356796"/>
          </a:xfrm>
          <a:prstGeom prst="rect">
            <a:avLst/>
          </a:prstGeom>
          <a:solidFill>
            <a:srgbClr val="317CC0"/>
          </a:solidFill>
          <a:ln>
            <a:solidFill>
              <a:srgbClr val="317CC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47" name="Arrow 2" descr="Play">
            <a:hlinkClick xmlns:r="http://schemas.openxmlformats.org/officeDocument/2006/relationships" r:id="rId12" tooltip="View Incentive Report"/>
            <a:extLst>
              <a:ext uri="{FF2B5EF4-FFF2-40B4-BE49-F238E27FC236}">
                <a16:creationId xmlns:a16="http://schemas.microsoft.com/office/drawing/2014/main" id="{00000000-0008-0000-4400-00002F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10913323" y="2580546"/>
            <a:ext cx="184135" cy="262347"/>
          </a:xfrm>
          <a:prstGeom prst="rect">
            <a:avLst/>
          </a:prstGeom>
        </xdr:spPr>
      </xdr:pic>
      <xdr:pic>
        <xdr:nvPicPr>
          <xdr:cNvPr id="46" name="Arrow 1" descr="Play">
            <a:hlinkClick xmlns:r="http://schemas.openxmlformats.org/officeDocument/2006/relationships" r:id="rId12" tooltip="View Incentive Report"/>
            <a:extLst>
              <a:ext uri="{FF2B5EF4-FFF2-40B4-BE49-F238E27FC236}">
                <a16:creationId xmlns:a16="http://schemas.microsoft.com/office/drawing/2014/main" id="{00000000-0008-0000-4400-00002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10745299" y="2573987"/>
            <a:ext cx="184135" cy="262347"/>
          </a:xfrm>
          <a:prstGeom prst="rect">
            <a:avLst/>
          </a:prstGeom>
        </xdr:spPr>
      </xdr:pic>
    </xdr:grpSp>
    <xdr:clientData/>
  </xdr:twoCellAnchor>
  <xdr:twoCellAnchor editAs="oneCell">
    <xdr:from>
      <xdr:col>22</xdr:col>
      <xdr:colOff>235323</xdr:colOff>
      <xdr:row>13</xdr:row>
      <xdr:rowOff>0</xdr:rowOff>
    </xdr:from>
    <xdr:to>
      <xdr:col>24</xdr:col>
      <xdr:colOff>302558</xdr:colOff>
      <xdr:row>40</xdr:row>
      <xdr:rowOff>15688</xdr:rowOff>
    </xdr:to>
    <xdr:grpSp>
      <xdr:nvGrpSpPr>
        <xdr:cNvPr id="48" name="Update">
          <a:extLst>
            <a:ext uri="{FF2B5EF4-FFF2-40B4-BE49-F238E27FC236}">
              <a16:creationId xmlns:a16="http://schemas.microsoft.com/office/drawing/2014/main" id="{00000000-0008-0000-4400-000030000000}"/>
            </a:ext>
          </a:extLst>
        </xdr:cNvPr>
        <xdr:cNvGrpSpPr/>
      </xdr:nvGrpSpPr>
      <xdr:grpSpPr>
        <a:xfrm>
          <a:off x="7138147" y="2622176"/>
          <a:ext cx="694764" cy="5461747"/>
          <a:chOff x="7287764" y="2596055"/>
          <a:chExt cx="708366" cy="5407495"/>
        </a:xfrm>
      </xdr:grpSpPr>
      <xdr:sp macro="" textlink="">
        <xdr:nvSpPr>
          <xdr:cNvPr id="38" name="Update: Payment">
            <a:hlinkClick xmlns:r="http://schemas.openxmlformats.org/officeDocument/2006/relationships" r:id="rId15" tooltip="Update: Payment Information"/>
            <a:extLst>
              <a:ext uri="{FF2B5EF4-FFF2-40B4-BE49-F238E27FC236}">
                <a16:creationId xmlns:a16="http://schemas.microsoft.com/office/drawing/2014/main" id="{00000000-0008-0000-4400-000026000000}"/>
              </a:ext>
            </a:extLst>
          </xdr:cNvPr>
          <xdr:cNvSpPr/>
        </xdr:nvSpPr>
        <xdr:spPr>
          <a:xfrm>
            <a:off x="7287764" y="7803855"/>
            <a:ext cx="708366" cy="1996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Update: DTM">
            <a:hlinkClick xmlns:r="http://schemas.openxmlformats.org/officeDocument/2006/relationships" r:id="rId16" tooltip="Update: Design Team Meeting Information"/>
            <a:extLst>
              <a:ext uri="{FF2B5EF4-FFF2-40B4-BE49-F238E27FC236}">
                <a16:creationId xmlns:a16="http://schemas.microsoft.com/office/drawing/2014/main" id="{00000000-0008-0000-4400-000025000000}"/>
              </a:ext>
            </a:extLst>
          </xdr:cNvPr>
          <xdr:cNvSpPr/>
        </xdr:nvSpPr>
        <xdr:spPr>
          <a:xfrm>
            <a:off x="7287764" y="6778244"/>
            <a:ext cx="708366" cy="1996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5" name="Update Cust/Bldg">
            <a:hlinkClick xmlns:r="http://schemas.openxmlformats.org/officeDocument/2006/relationships" r:id="rId17" tooltip="Update: Customer &amp; Building Information"/>
            <a:extLst>
              <a:ext uri="{FF2B5EF4-FFF2-40B4-BE49-F238E27FC236}">
                <a16:creationId xmlns:a16="http://schemas.microsoft.com/office/drawing/2014/main" id="{00000000-0008-0000-4400-00004B000000}"/>
              </a:ext>
            </a:extLst>
          </xdr:cNvPr>
          <xdr:cNvSpPr/>
        </xdr:nvSpPr>
        <xdr:spPr>
          <a:xfrm>
            <a:off x="7287764" y="3782796"/>
            <a:ext cx="708366" cy="1996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Update: Design Team">
            <a:hlinkClick xmlns:r="http://schemas.openxmlformats.org/officeDocument/2006/relationships" r:id="rId18" tooltip="Update: Design Team Information"/>
            <a:extLst>
              <a:ext uri="{FF2B5EF4-FFF2-40B4-BE49-F238E27FC236}">
                <a16:creationId xmlns:a16="http://schemas.microsoft.com/office/drawing/2014/main" id="{00000000-0008-0000-4400-000023000000}"/>
              </a:ext>
            </a:extLst>
          </xdr:cNvPr>
          <xdr:cNvSpPr/>
        </xdr:nvSpPr>
        <xdr:spPr>
          <a:xfrm>
            <a:off x="7287764" y="2992976"/>
            <a:ext cx="708366" cy="1996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Update: T&amp;C's">
            <a:hlinkClick xmlns:r="http://schemas.openxmlformats.org/officeDocument/2006/relationships" r:id="rId19" tooltip="Update: Terms and Conditions Information"/>
            <a:extLst>
              <a:ext uri="{FF2B5EF4-FFF2-40B4-BE49-F238E27FC236}">
                <a16:creationId xmlns:a16="http://schemas.microsoft.com/office/drawing/2014/main" id="{00000000-0008-0000-4400-000022000000}"/>
              </a:ext>
            </a:extLst>
          </xdr:cNvPr>
          <xdr:cNvSpPr/>
        </xdr:nvSpPr>
        <xdr:spPr>
          <a:xfrm>
            <a:off x="7287764" y="2596055"/>
            <a:ext cx="708366" cy="1996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37</xdr:col>
      <xdr:colOff>302559</xdr:colOff>
      <xdr:row>8</xdr:row>
      <xdr:rowOff>100853</xdr:rowOff>
    </xdr:from>
    <xdr:to>
      <xdr:col>43</xdr:col>
      <xdr:colOff>261213</xdr:colOff>
      <xdr:row>11</xdr:row>
      <xdr:rowOff>176694</xdr:rowOff>
    </xdr:to>
    <xdr:grpSp>
      <xdr:nvGrpSpPr>
        <xdr:cNvPr id="14" name="Submission">
          <a:extLst>
            <a:ext uri="{FF2B5EF4-FFF2-40B4-BE49-F238E27FC236}">
              <a16:creationId xmlns:a16="http://schemas.microsoft.com/office/drawing/2014/main" id="{00000000-0008-0000-4400-00000E000000}"/>
            </a:ext>
          </a:extLst>
        </xdr:cNvPr>
        <xdr:cNvGrpSpPr/>
      </xdr:nvGrpSpPr>
      <xdr:grpSpPr>
        <a:xfrm>
          <a:off x="11911853" y="1714500"/>
          <a:ext cx="1841242" cy="680959"/>
          <a:chOff x="12243547" y="1678641"/>
          <a:chExt cx="1895031" cy="667512"/>
        </a:xfrm>
      </xdr:grpSpPr>
      <xdr:sp macro="" textlink="">
        <xdr:nvSpPr>
          <xdr:cNvPr id="42" name="Submission">
            <a:hlinkClick xmlns:r="http://schemas.openxmlformats.org/officeDocument/2006/relationships" r:id="rId20" tooltip="Submission Instructions"/>
            <a:extLst>
              <a:ext uri="{FF2B5EF4-FFF2-40B4-BE49-F238E27FC236}">
                <a16:creationId xmlns:a16="http://schemas.microsoft.com/office/drawing/2014/main" id="{00000000-0008-0000-4400-00002A000000}"/>
              </a:ext>
            </a:extLst>
          </xdr:cNvPr>
          <xdr:cNvSpPr/>
        </xdr:nvSpPr>
        <xdr:spPr>
          <a:xfrm>
            <a:off x="12243547" y="1678641"/>
            <a:ext cx="1895031" cy="667512"/>
          </a:xfrm>
          <a:prstGeom prst="roundRect">
            <a:avLst>
              <a:gd name="adj" fmla="val 48870"/>
            </a:avLst>
          </a:prstGeom>
          <a:solidFill>
            <a:srgbClr val="317CC0"/>
          </a:solidFill>
          <a:ln w="28575">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43" name="Arrow: Right N5S2-1">
            <a:hlinkClick xmlns:r="http://schemas.openxmlformats.org/officeDocument/2006/relationships" r:id="rId20" tooltip="Submission Instructions"/>
            <a:extLst>
              <a:ext uri="{FF2B5EF4-FFF2-40B4-BE49-F238E27FC236}">
                <a16:creationId xmlns:a16="http://schemas.microsoft.com/office/drawing/2014/main" id="{00000000-0008-0000-4400-00002B000000}"/>
              </a:ext>
            </a:extLst>
          </xdr:cNvPr>
          <xdr:cNvSpPr/>
        </xdr:nvSpPr>
        <xdr:spPr>
          <a:xfrm>
            <a:off x="13523738" y="1809527"/>
            <a:ext cx="550857"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212910</xdr:colOff>
      <xdr:row>8</xdr:row>
      <xdr:rowOff>100854</xdr:rowOff>
    </xdr:from>
    <xdr:to>
      <xdr:col>3</xdr:col>
      <xdr:colOff>112057</xdr:colOff>
      <xdr:row>10</xdr:row>
      <xdr:rowOff>108922</xdr:rowOff>
    </xdr:to>
    <xdr:sp macro="" textlink="">
      <xdr:nvSpPr>
        <xdr:cNvPr id="3" name="Arrow: Left N5S1">
          <a:hlinkClick xmlns:r="http://schemas.openxmlformats.org/officeDocument/2006/relationships" r:id="rId21" tooltip="Back: Payment"/>
          <a:extLst>
            <a:ext uri="{FF2B5EF4-FFF2-40B4-BE49-F238E27FC236}">
              <a16:creationId xmlns:a16="http://schemas.microsoft.com/office/drawing/2014/main" id="{00000000-0008-0000-4400-000003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0</xdr:colOff>
      <xdr:row>3</xdr:row>
      <xdr:rowOff>0</xdr:rowOff>
    </xdr:from>
    <xdr:to>
      <xdr:col>41</xdr:col>
      <xdr:colOff>223215</xdr:colOff>
      <xdr:row>7</xdr:row>
      <xdr:rowOff>196408</xdr:rowOff>
    </xdr:to>
    <xdr:grpSp>
      <xdr:nvGrpSpPr>
        <xdr:cNvPr id="4" name="Navigation">
          <a:extLst>
            <a:ext uri="{FF2B5EF4-FFF2-40B4-BE49-F238E27FC236}">
              <a16:creationId xmlns:a16="http://schemas.microsoft.com/office/drawing/2014/main" id="{00000000-0008-0000-4400-000004000000}"/>
            </a:ext>
          </a:extLst>
        </xdr:cNvPr>
        <xdr:cNvGrpSpPr/>
      </xdr:nvGrpSpPr>
      <xdr:grpSpPr>
        <a:xfrm>
          <a:off x="1882588" y="605118"/>
          <a:ext cx="11204980" cy="1003231"/>
          <a:chOff x="1576553" y="592282"/>
          <a:chExt cx="11373937" cy="986117"/>
        </a:xfrm>
      </xdr:grpSpPr>
      <xdr:cxnSp macro="">
        <xdr:nvCxnSpPr>
          <xdr:cNvPr id="5" name="Reference">
            <a:extLst>
              <a:ext uri="{FF2B5EF4-FFF2-40B4-BE49-F238E27FC236}">
                <a16:creationId xmlns:a16="http://schemas.microsoft.com/office/drawing/2014/main" id="{00000000-0008-0000-4400-000005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6" name="7: Project Review">
            <a:hlinkClick xmlns:r="http://schemas.openxmlformats.org/officeDocument/2006/relationships" r:id="rId22" tooltip="Project Review"/>
            <a:extLst>
              <a:ext uri="{FF2B5EF4-FFF2-40B4-BE49-F238E27FC236}">
                <a16:creationId xmlns:a16="http://schemas.microsoft.com/office/drawing/2014/main" id="{00000000-0008-0000-4400-000006000000}"/>
              </a:ext>
            </a:extLst>
          </xdr:cNvPr>
          <xdr:cNvSpPr/>
        </xdr:nvSpPr>
        <xdr:spPr>
          <a:xfrm>
            <a:off x="11134483"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7" name="6: Payment">
            <a:hlinkClick xmlns:r="http://schemas.openxmlformats.org/officeDocument/2006/relationships" r:id="rId21" tooltip="Payment"/>
            <a:extLst>
              <a:ext uri="{FF2B5EF4-FFF2-40B4-BE49-F238E27FC236}">
                <a16:creationId xmlns:a16="http://schemas.microsoft.com/office/drawing/2014/main" id="{00000000-0008-0000-4400-000007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8" name="5: Equipment Input">
            <a:hlinkClick xmlns:r="http://schemas.openxmlformats.org/officeDocument/2006/relationships" r:id="rId23" tooltip="Equipment Input"/>
            <a:extLst>
              <a:ext uri="{FF2B5EF4-FFF2-40B4-BE49-F238E27FC236}">
                <a16:creationId xmlns:a16="http://schemas.microsoft.com/office/drawing/2014/main" id="{00000000-0008-0000-4400-000008000000}"/>
              </a:ext>
            </a:extLst>
          </xdr:cNvPr>
          <xdr:cNvSpPr/>
        </xdr:nvSpPr>
        <xdr:spPr>
          <a:xfrm>
            <a:off x="7948506"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9" name="4: DTM">
            <a:hlinkClick xmlns:r="http://schemas.openxmlformats.org/officeDocument/2006/relationships" r:id="rId16" tooltip="Building Information"/>
            <a:extLst>
              <a:ext uri="{FF2B5EF4-FFF2-40B4-BE49-F238E27FC236}">
                <a16:creationId xmlns:a16="http://schemas.microsoft.com/office/drawing/2014/main" id="{00000000-0008-0000-4400-000009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0" name="3: Customer/Bldg Info">
            <a:hlinkClick xmlns:r="http://schemas.openxmlformats.org/officeDocument/2006/relationships" r:id="rId24" tooltip="Customer Information"/>
            <a:extLst>
              <a:ext uri="{FF2B5EF4-FFF2-40B4-BE49-F238E27FC236}">
                <a16:creationId xmlns:a16="http://schemas.microsoft.com/office/drawing/2014/main" id="{00000000-0008-0000-4400-00000A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1" name="2: Design Team">
            <a:hlinkClick xmlns:r="http://schemas.openxmlformats.org/officeDocument/2006/relationships" r:id="rId25" tooltip="Trade Ally/Vendor Information"/>
            <a:extLst>
              <a:ext uri="{FF2B5EF4-FFF2-40B4-BE49-F238E27FC236}">
                <a16:creationId xmlns:a16="http://schemas.microsoft.com/office/drawing/2014/main" id="{00000000-0008-0000-4400-00000B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2" name="1: T&amp;C's">
            <a:hlinkClick xmlns:r="http://schemas.openxmlformats.org/officeDocument/2006/relationships" r:id="rId19" tooltip="Terms &amp; Conditions"/>
            <a:extLst>
              <a:ext uri="{FF2B5EF4-FFF2-40B4-BE49-F238E27FC236}">
                <a16:creationId xmlns:a16="http://schemas.microsoft.com/office/drawing/2014/main" id="{00000000-0008-0000-4400-00000C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4400-000002000000}"/>
            </a:ext>
          </a:extLst>
        </xdr:cNvPr>
        <xdr:cNvGrpSpPr/>
      </xdr:nvGrpSpPr>
      <xdr:grpSpPr>
        <a:xfrm>
          <a:off x="0" y="0"/>
          <a:ext cx="15374471" cy="605118"/>
          <a:chOff x="0" y="0"/>
          <a:chExt cx="15822705" cy="591825"/>
        </a:xfrm>
      </xdr:grpSpPr>
      <xdr:grpSp>
        <xdr:nvGrpSpPr>
          <xdr:cNvPr id="31" name="Header">
            <a:extLst>
              <a:ext uri="{FF2B5EF4-FFF2-40B4-BE49-F238E27FC236}">
                <a16:creationId xmlns:a16="http://schemas.microsoft.com/office/drawing/2014/main" id="{00000000-0008-0000-4400-00001F000000}"/>
              </a:ext>
            </a:extLst>
          </xdr:cNvPr>
          <xdr:cNvGrpSpPr/>
        </xdr:nvGrpSpPr>
        <xdr:grpSpPr>
          <a:xfrm>
            <a:off x="0" y="0"/>
            <a:ext cx="15822705" cy="591825"/>
            <a:chOff x="0" y="0"/>
            <a:chExt cx="15822705" cy="591825"/>
          </a:xfrm>
        </xdr:grpSpPr>
        <xdr:sp macro="" textlink="">
          <xdr:nvSpPr>
            <xdr:cNvPr id="49" name="Reference">
              <a:extLst>
                <a:ext uri="{FF2B5EF4-FFF2-40B4-BE49-F238E27FC236}">
                  <a16:creationId xmlns:a16="http://schemas.microsoft.com/office/drawing/2014/main" id="{00000000-0008-0000-4400-000031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26" tooltip="Contact"/>
              <a:extLst>
                <a:ext uri="{FF2B5EF4-FFF2-40B4-BE49-F238E27FC236}">
                  <a16:creationId xmlns:a16="http://schemas.microsoft.com/office/drawing/2014/main" id="{00000000-0008-0000-4400-000032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a:hlinkClick xmlns:r="http://schemas.openxmlformats.org/officeDocument/2006/relationships" r:id="rId27" tooltip=" "/>
              <a:extLst>
                <a:ext uri="{FF2B5EF4-FFF2-40B4-BE49-F238E27FC236}">
                  <a16:creationId xmlns:a16="http://schemas.microsoft.com/office/drawing/2014/main" id="{00000000-0008-0000-4400-000033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a:hlinkClick xmlns:r="http://schemas.openxmlformats.org/officeDocument/2006/relationships" r:id="rId28" tooltip=" "/>
              <a:extLst>
                <a:ext uri="{FF2B5EF4-FFF2-40B4-BE49-F238E27FC236}">
                  <a16:creationId xmlns:a16="http://schemas.microsoft.com/office/drawing/2014/main" id="{00000000-0008-0000-4400-000034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nstructions">
              <a:hlinkClick xmlns:r="http://schemas.openxmlformats.org/officeDocument/2006/relationships" r:id="rId29" tooltip="Instructions"/>
              <a:extLst>
                <a:ext uri="{FF2B5EF4-FFF2-40B4-BE49-F238E27FC236}">
                  <a16:creationId xmlns:a16="http://schemas.microsoft.com/office/drawing/2014/main" id="{00000000-0008-0000-4400-000035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elcome">
              <a:hlinkClick xmlns:r="http://schemas.openxmlformats.org/officeDocument/2006/relationships" r:id="rId30" tooltip="Welcome"/>
              <a:extLst>
                <a:ext uri="{FF2B5EF4-FFF2-40B4-BE49-F238E27FC236}">
                  <a16:creationId xmlns:a16="http://schemas.microsoft.com/office/drawing/2014/main" id="{00000000-0008-0000-4400-000036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5" name="Evergy Logo">
              <a:extLst>
                <a:ext uri="{FF2B5EF4-FFF2-40B4-BE49-F238E27FC236}">
                  <a16:creationId xmlns:a16="http://schemas.microsoft.com/office/drawing/2014/main" id="{00000000-0008-0000-4400-000037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32" name="Dividers">
            <a:extLst>
              <a:ext uri="{FF2B5EF4-FFF2-40B4-BE49-F238E27FC236}">
                <a16:creationId xmlns:a16="http://schemas.microsoft.com/office/drawing/2014/main" id="{00000000-0008-0000-4400-000020000000}"/>
              </a:ext>
            </a:extLst>
          </xdr:cNvPr>
          <xdr:cNvGrpSpPr/>
        </xdr:nvGrpSpPr>
        <xdr:grpSpPr>
          <a:xfrm>
            <a:off x="1615312" y="85571"/>
            <a:ext cx="12926000" cy="423176"/>
            <a:chOff x="1615312" y="85571"/>
            <a:chExt cx="12926000" cy="423176"/>
          </a:xfrm>
        </xdr:grpSpPr>
        <xdr:cxnSp macro="">
          <xdr:nvCxnSpPr>
            <xdr:cNvPr id="36" name="Divider 4">
              <a:extLst>
                <a:ext uri="{FF2B5EF4-FFF2-40B4-BE49-F238E27FC236}">
                  <a16:creationId xmlns:a16="http://schemas.microsoft.com/office/drawing/2014/main" id="{00000000-0008-0000-4400-000024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3">
              <a:extLst>
                <a:ext uri="{FF2B5EF4-FFF2-40B4-BE49-F238E27FC236}">
                  <a16:creationId xmlns:a16="http://schemas.microsoft.com/office/drawing/2014/main" id="{00000000-0008-0000-4400-000028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2">
              <a:extLst>
                <a:ext uri="{FF2B5EF4-FFF2-40B4-BE49-F238E27FC236}">
                  <a16:creationId xmlns:a16="http://schemas.microsoft.com/office/drawing/2014/main" id="{00000000-0008-0000-4400-000029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4400-00002C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21</xdr:col>
      <xdr:colOff>0</xdr:colOff>
      <xdr:row>14</xdr:row>
      <xdr:rowOff>156882</xdr:rowOff>
    </xdr:from>
    <xdr:to>
      <xdr:col>27</xdr:col>
      <xdr:colOff>56032</xdr:colOff>
      <xdr:row>15</xdr:row>
      <xdr:rowOff>156882</xdr:rowOff>
    </xdr:to>
    <xdr:sp macro="" textlink="">
      <xdr:nvSpPr>
        <xdr:cNvPr id="2" name="Email">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6600825" y="2957232"/>
          <a:ext cx="1941982"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10" name="Arrow: Left N5S2">
          <a:hlinkClick xmlns:r="http://schemas.openxmlformats.org/officeDocument/2006/relationships" r:id="rId2" tooltip="Back: Project Review"/>
          <a:extLst>
            <a:ext uri="{FF2B5EF4-FFF2-40B4-BE49-F238E27FC236}">
              <a16:creationId xmlns:a16="http://schemas.microsoft.com/office/drawing/2014/main" id="{00000000-0008-0000-4500-00000A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34</xdr:col>
      <xdr:colOff>22412</xdr:colOff>
      <xdr:row>17</xdr:row>
      <xdr:rowOff>11205</xdr:rowOff>
    </xdr:from>
    <xdr:to>
      <xdr:col>43</xdr:col>
      <xdr:colOff>11206</xdr:colOff>
      <xdr:row>18</xdr:row>
      <xdr:rowOff>175259</xdr:rowOff>
    </xdr:to>
    <xdr:grpSp>
      <xdr:nvGrpSpPr>
        <xdr:cNvPr id="8" name="Incentive Report">
          <a:extLst>
            <a:ext uri="{FF2B5EF4-FFF2-40B4-BE49-F238E27FC236}">
              <a16:creationId xmlns:a16="http://schemas.microsoft.com/office/drawing/2014/main" id="{00000000-0008-0000-4500-000008000000}"/>
            </a:ext>
          </a:extLst>
        </xdr:cNvPr>
        <xdr:cNvGrpSpPr/>
      </xdr:nvGrpSpPr>
      <xdr:grpSpPr>
        <a:xfrm>
          <a:off x="10690412" y="3440205"/>
          <a:ext cx="2812676" cy="365760"/>
          <a:chOff x="10995212" y="3364005"/>
          <a:chExt cx="2893359" cy="361278"/>
        </a:xfrm>
      </xdr:grpSpPr>
      <xdr:sp macro="" textlink="">
        <xdr:nvSpPr>
          <xdr:cNvPr id="23" name="Button">
            <a:hlinkClick xmlns:r="http://schemas.openxmlformats.org/officeDocument/2006/relationships" r:id="rId3" tooltip="View Incentive Report"/>
            <a:extLst>
              <a:ext uri="{FF2B5EF4-FFF2-40B4-BE49-F238E27FC236}">
                <a16:creationId xmlns:a16="http://schemas.microsoft.com/office/drawing/2014/main" id="{00000000-0008-0000-4500-000017000000}"/>
              </a:ext>
            </a:extLst>
          </xdr:cNvPr>
          <xdr:cNvSpPr/>
        </xdr:nvSpPr>
        <xdr:spPr>
          <a:xfrm>
            <a:off x="10995212" y="3364005"/>
            <a:ext cx="2893359" cy="361278"/>
          </a:xfrm>
          <a:prstGeom prst="rect">
            <a:avLst/>
          </a:prstGeom>
          <a:solidFill>
            <a:srgbClr val="317CC0"/>
          </a:solidFill>
          <a:ln>
            <a:solidFill>
              <a:srgbClr val="317CC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25" name="Arrow 2" descr="Play">
            <a:hlinkClick xmlns:r="http://schemas.openxmlformats.org/officeDocument/2006/relationships" r:id="rId3" tooltip="View Incentive Report"/>
            <a:extLst>
              <a:ext uri="{FF2B5EF4-FFF2-40B4-BE49-F238E27FC236}">
                <a16:creationId xmlns:a16="http://schemas.microsoft.com/office/drawing/2014/main" id="{00000000-0008-0000-4500-000019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 uri="{96DAC541-7B7A-43D3-8B79-37D633B846F1}">
                <asvg:svgBlip xmlns:asvg="http://schemas.microsoft.com/office/drawing/2016/SVG/main" r:embed="rId5"/>
              </a:ext>
            </a:extLst>
          </a:blip>
          <a:stretch>
            <a:fillRect/>
          </a:stretch>
        </xdr:blipFill>
        <xdr:spPr>
          <a:xfrm>
            <a:off x="13659057" y="3416030"/>
            <a:ext cx="195331" cy="265642"/>
          </a:xfrm>
          <a:prstGeom prst="rect">
            <a:avLst/>
          </a:prstGeom>
        </xdr:spPr>
      </xdr:pic>
      <xdr:pic>
        <xdr:nvPicPr>
          <xdr:cNvPr id="24" name="Arrow 1" descr="Play">
            <a:hlinkClick xmlns:r="http://schemas.openxmlformats.org/officeDocument/2006/relationships" r:id="rId3" tooltip="View Incentive Report"/>
            <a:extLst>
              <a:ext uri="{FF2B5EF4-FFF2-40B4-BE49-F238E27FC236}">
                <a16:creationId xmlns:a16="http://schemas.microsoft.com/office/drawing/2014/main" id="{00000000-0008-0000-4500-00001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 uri="{96DAC541-7B7A-43D3-8B79-37D633B846F1}">
                <asvg:svgBlip xmlns:asvg="http://schemas.microsoft.com/office/drawing/2016/SVG/main" r:embed="rId5"/>
              </a:ext>
            </a:extLst>
          </a:blip>
          <a:stretch>
            <a:fillRect/>
          </a:stretch>
        </xdr:blipFill>
        <xdr:spPr>
          <a:xfrm>
            <a:off x="13480817" y="3409388"/>
            <a:ext cx="195331" cy="265642"/>
          </a:xfrm>
          <a:prstGeom prst="rect">
            <a:avLst/>
          </a:prstGeom>
        </xdr:spPr>
      </xdr:pic>
    </xdr:grpSp>
    <xdr:clientData/>
  </xdr:twoCellAnchor>
  <xdr:twoCellAnchor editAs="oneCell">
    <xdr:from>
      <xdr:col>6</xdr:col>
      <xdr:colOff>0</xdr:colOff>
      <xdr:row>3</xdr:row>
      <xdr:rowOff>0</xdr:rowOff>
    </xdr:from>
    <xdr:to>
      <xdr:col>41</xdr:col>
      <xdr:colOff>223215</xdr:colOff>
      <xdr:row>7</xdr:row>
      <xdr:rowOff>196408</xdr:rowOff>
    </xdr:to>
    <xdr:grpSp>
      <xdr:nvGrpSpPr>
        <xdr:cNvPr id="3" name="Navigation">
          <a:extLst>
            <a:ext uri="{FF2B5EF4-FFF2-40B4-BE49-F238E27FC236}">
              <a16:creationId xmlns:a16="http://schemas.microsoft.com/office/drawing/2014/main" id="{00000000-0008-0000-4500-000003000000}"/>
            </a:ext>
          </a:extLst>
        </xdr:cNvPr>
        <xdr:cNvGrpSpPr/>
      </xdr:nvGrpSpPr>
      <xdr:grpSpPr>
        <a:xfrm>
          <a:off x="1882588" y="605118"/>
          <a:ext cx="11204980" cy="1003231"/>
          <a:chOff x="1576553" y="592282"/>
          <a:chExt cx="11373937" cy="986117"/>
        </a:xfrm>
      </xdr:grpSpPr>
      <xdr:cxnSp macro="">
        <xdr:nvCxnSpPr>
          <xdr:cNvPr id="4" name="Reference">
            <a:extLst>
              <a:ext uri="{FF2B5EF4-FFF2-40B4-BE49-F238E27FC236}">
                <a16:creationId xmlns:a16="http://schemas.microsoft.com/office/drawing/2014/main" id="{00000000-0008-0000-4500-000004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5" name="7: Project Review">
            <a:hlinkClick xmlns:r="http://schemas.openxmlformats.org/officeDocument/2006/relationships" r:id="rId6" tooltip="Project Review"/>
            <a:extLst>
              <a:ext uri="{FF2B5EF4-FFF2-40B4-BE49-F238E27FC236}">
                <a16:creationId xmlns:a16="http://schemas.microsoft.com/office/drawing/2014/main" id="{00000000-0008-0000-4500-000005000000}"/>
              </a:ext>
            </a:extLst>
          </xdr:cNvPr>
          <xdr:cNvSpPr/>
        </xdr:nvSpPr>
        <xdr:spPr>
          <a:xfrm>
            <a:off x="11134483"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6" name="6: Payment">
            <a:hlinkClick xmlns:r="http://schemas.openxmlformats.org/officeDocument/2006/relationships" r:id="rId7" tooltip="Payment"/>
            <a:extLst>
              <a:ext uri="{FF2B5EF4-FFF2-40B4-BE49-F238E27FC236}">
                <a16:creationId xmlns:a16="http://schemas.microsoft.com/office/drawing/2014/main" id="{00000000-0008-0000-4500-000006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7" name="5: Equipment Input">
            <a:hlinkClick xmlns:r="http://schemas.openxmlformats.org/officeDocument/2006/relationships" r:id="rId8" tooltip="Equipment Input"/>
            <a:extLst>
              <a:ext uri="{FF2B5EF4-FFF2-40B4-BE49-F238E27FC236}">
                <a16:creationId xmlns:a16="http://schemas.microsoft.com/office/drawing/2014/main" id="{00000000-0008-0000-4500-000007000000}"/>
              </a:ext>
            </a:extLst>
          </xdr:cNvPr>
          <xdr:cNvSpPr/>
        </xdr:nvSpPr>
        <xdr:spPr>
          <a:xfrm>
            <a:off x="7948506"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6" name="4: DTM">
            <a:hlinkClick xmlns:r="http://schemas.openxmlformats.org/officeDocument/2006/relationships" r:id="rId9" tooltip="Building Information"/>
            <a:extLst>
              <a:ext uri="{FF2B5EF4-FFF2-40B4-BE49-F238E27FC236}">
                <a16:creationId xmlns:a16="http://schemas.microsoft.com/office/drawing/2014/main" id="{00000000-0008-0000-4500-000010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7" name="3: Customer/Bldg Info">
            <a:hlinkClick xmlns:r="http://schemas.openxmlformats.org/officeDocument/2006/relationships" r:id="rId10" tooltip="Customer Information"/>
            <a:extLst>
              <a:ext uri="{FF2B5EF4-FFF2-40B4-BE49-F238E27FC236}">
                <a16:creationId xmlns:a16="http://schemas.microsoft.com/office/drawing/2014/main" id="{00000000-0008-0000-4500-000011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8" name="2: Design Team">
            <a:hlinkClick xmlns:r="http://schemas.openxmlformats.org/officeDocument/2006/relationships" r:id="rId11" tooltip="Trade Ally/Vendor Information"/>
            <a:extLst>
              <a:ext uri="{FF2B5EF4-FFF2-40B4-BE49-F238E27FC236}">
                <a16:creationId xmlns:a16="http://schemas.microsoft.com/office/drawing/2014/main" id="{00000000-0008-0000-4500-000012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9" name="1: T&amp;C's">
            <a:hlinkClick xmlns:r="http://schemas.openxmlformats.org/officeDocument/2006/relationships" r:id="rId12" tooltip="Terms &amp; Conditions"/>
            <a:extLst>
              <a:ext uri="{FF2B5EF4-FFF2-40B4-BE49-F238E27FC236}">
                <a16:creationId xmlns:a16="http://schemas.microsoft.com/office/drawing/2014/main" id="{00000000-0008-0000-4500-000013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9" name="Header">
          <a:extLst>
            <a:ext uri="{FF2B5EF4-FFF2-40B4-BE49-F238E27FC236}">
              <a16:creationId xmlns:a16="http://schemas.microsoft.com/office/drawing/2014/main" id="{00000000-0008-0000-4500-000009000000}"/>
            </a:ext>
          </a:extLst>
        </xdr:cNvPr>
        <xdr:cNvGrpSpPr/>
      </xdr:nvGrpSpPr>
      <xdr:grpSpPr>
        <a:xfrm>
          <a:off x="0" y="0"/>
          <a:ext cx="15374471" cy="605118"/>
          <a:chOff x="0" y="0"/>
          <a:chExt cx="15822705" cy="591825"/>
        </a:xfrm>
      </xdr:grpSpPr>
      <xdr:grpSp>
        <xdr:nvGrpSpPr>
          <xdr:cNvPr id="11" name="Header">
            <a:extLst>
              <a:ext uri="{FF2B5EF4-FFF2-40B4-BE49-F238E27FC236}">
                <a16:creationId xmlns:a16="http://schemas.microsoft.com/office/drawing/2014/main" id="{00000000-0008-0000-4500-00000B000000}"/>
              </a:ext>
            </a:extLst>
          </xdr:cNvPr>
          <xdr:cNvGrpSpPr/>
        </xdr:nvGrpSpPr>
        <xdr:grpSpPr>
          <a:xfrm>
            <a:off x="0" y="0"/>
            <a:ext cx="15822705" cy="591825"/>
            <a:chOff x="0" y="0"/>
            <a:chExt cx="15822705" cy="591825"/>
          </a:xfrm>
        </xdr:grpSpPr>
        <xdr:sp macro="" textlink="">
          <xdr:nvSpPr>
            <xdr:cNvPr id="21" name="Reference">
              <a:extLst>
                <a:ext uri="{FF2B5EF4-FFF2-40B4-BE49-F238E27FC236}">
                  <a16:creationId xmlns:a16="http://schemas.microsoft.com/office/drawing/2014/main" id="{00000000-0008-0000-4500-000015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ntact">
              <a:hlinkClick xmlns:r="http://schemas.openxmlformats.org/officeDocument/2006/relationships" r:id="rId13" tooltip="Contact"/>
              <a:extLst>
                <a:ext uri="{FF2B5EF4-FFF2-40B4-BE49-F238E27FC236}">
                  <a16:creationId xmlns:a16="http://schemas.microsoft.com/office/drawing/2014/main" id="{00000000-0008-0000-4500-000016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mpletion">
              <a:hlinkClick xmlns:r="http://schemas.openxmlformats.org/officeDocument/2006/relationships" r:id="rId14" tooltip=" "/>
              <a:extLst>
                <a:ext uri="{FF2B5EF4-FFF2-40B4-BE49-F238E27FC236}">
                  <a16:creationId xmlns:a16="http://schemas.microsoft.com/office/drawing/2014/main" id="{00000000-0008-0000-4500-00001A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a:hlinkClick xmlns:r="http://schemas.openxmlformats.org/officeDocument/2006/relationships" r:id="rId15" tooltip=" "/>
              <a:extLst>
                <a:ext uri="{FF2B5EF4-FFF2-40B4-BE49-F238E27FC236}">
                  <a16:creationId xmlns:a16="http://schemas.microsoft.com/office/drawing/2014/main" id="{00000000-0008-0000-4500-00001B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16" tooltip="Instructions"/>
              <a:extLst>
                <a:ext uri="{FF2B5EF4-FFF2-40B4-BE49-F238E27FC236}">
                  <a16:creationId xmlns:a16="http://schemas.microsoft.com/office/drawing/2014/main" id="{00000000-0008-0000-4500-00001C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17" tooltip="Welcome"/>
              <a:extLst>
                <a:ext uri="{FF2B5EF4-FFF2-40B4-BE49-F238E27FC236}">
                  <a16:creationId xmlns:a16="http://schemas.microsoft.com/office/drawing/2014/main" id="{00000000-0008-0000-4500-00001D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4500-00001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12" name="Dividers">
            <a:extLst>
              <a:ext uri="{FF2B5EF4-FFF2-40B4-BE49-F238E27FC236}">
                <a16:creationId xmlns:a16="http://schemas.microsoft.com/office/drawing/2014/main" id="{00000000-0008-0000-4500-00000C000000}"/>
              </a:ext>
            </a:extLst>
          </xdr:cNvPr>
          <xdr:cNvGrpSpPr/>
        </xdr:nvGrpSpPr>
        <xdr:grpSpPr>
          <a:xfrm>
            <a:off x="1615312" y="85571"/>
            <a:ext cx="12926000" cy="423176"/>
            <a:chOff x="1615312" y="85571"/>
            <a:chExt cx="12926000" cy="423176"/>
          </a:xfrm>
        </xdr:grpSpPr>
        <xdr:cxnSp macro="">
          <xdr:nvCxnSpPr>
            <xdr:cNvPr id="13" name="Divider 4">
              <a:extLst>
                <a:ext uri="{FF2B5EF4-FFF2-40B4-BE49-F238E27FC236}">
                  <a16:creationId xmlns:a16="http://schemas.microsoft.com/office/drawing/2014/main" id="{00000000-0008-0000-4500-00000D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3">
              <a:extLst>
                <a:ext uri="{FF2B5EF4-FFF2-40B4-BE49-F238E27FC236}">
                  <a16:creationId xmlns:a16="http://schemas.microsoft.com/office/drawing/2014/main" id="{00000000-0008-0000-4500-00000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2">
              <a:extLst>
                <a:ext uri="{FF2B5EF4-FFF2-40B4-BE49-F238E27FC236}">
                  <a16:creationId xmlns:a16="http://schemas.microsoft.com/office/drawing/2014/main" id="{00000000-0008-0000-4500-00000F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1">
              <a:extLst>
                <a:ext uri="{FF2B5EF4-FFF2-40B4-BE49-F238E27FC236}">
                  <a16:creationId xmlns:a16="http://schemas.microsoft.com/office/drawing/2014/main" id="{00000000-0008-0000-4500-000014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17076</xdr:colOff>
      <xdr:row>15</xdr:row>
      <xdr:rowOff>0</xdr:rowOff>
    </xdr:from>
    <xdr:to>
      <xdr:col>35</xdr:col>
      <xdr:colOff>134694</xdr:colOff>
      <xdr:row>76</xdr:row>
      <xdr:rowOff>132890</xdr:rowOff>
    </xdr:to>
    <xdr:grpSp>
      <xdr:nvGrpSpPr>
        <xdr:cNvPr id="12" name="Report">
          <a:extLst>
            <a:ext uri="{FF2B5EF4-FFF2-40B4-BE49-F238E27FC236}">
              <a16:creationId xmlns:a16="http://schemas.microsoft.com/office/drawing/2014/main" id="{00000000-0008-0000-4600-00000C000000}"/>
            </a:ext>
          </a:extLst>
        </xdr:cNvPr>
        <xdr:cNvGrpSpPr/>
      </xdr:nvGrpSpPr>
      <xdr:grpSpPr>
        <a:xfrm>
          <a:off x="2840958" y="3025588"/>
          <a:ext cx="8275501" cy="12470567"/>
          <a:chOff x="2921641" y="3012141"/>
          <a:chExt cx="8508582" cy="12199384"/>
        </a:xfrm>
      </xdr:grpSpPr>
      <xdr:pic>
        <xdr:nvPicPr>
          <xdr:cNvPr id="38" name="TRC">
            <a:extLst>
              <a:ext uri="{FF2B5EF4-FFF2-40B4-BE49-F238E27FC236}">
                <a16:creationId xmlns:a16="http://schemas.microsoft.com/office/drawing/2014/main" id="{00000000-0008-0000-4600-00002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422378" y="14937442"/>
            <a:ext cx="1007845" cy="274083"/>
          </a:xfrm>
          <a:prstGeom prst="rect">
            <a:avLst/>
          </a:prstGeom>
        </xdr:spPr>
      </xdr:pic>
      <xdr:pic>
        <xdr:nvPicPr>
          <xdr:cNvPr id="41" name="Truck">
            <a:extLst>
              <a:ext uri="{FF2B5EF4-FFF2-40B4-BE49-F238E27FC236}">
                <a16:creationId xmlns:a16="http://schemas.microsoft.com/office/drawing/2014/main" id="{00000000-0008-0000-4600-00002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8913771" y="12311266"/>
            <a:ext cx="785576" cy="798162"/>
          </a:xfrm>
          <a:prstGeom prst="rect">
            <a:avLst/>
          </a:prstGeom>
        </xdr:spPr>
      </xdr:pic>
      <xdr:pic>
        <xdr:nvPicPr>
          <xdr:cNvPr id="40" name="House">
            <a:extLst>
              <a:ext uri="{FF2B5EF4-FFF2-40B4-BE49-F238E27FC236}">
                <a16:creationId xmlns:a16="http://schemas.microsoft.com/office/drawing/2014/main" id="{00000000-0008-0000-4600-00002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127168" y="12146799"/>
            <a:ext cx="934032" cy="935543"/>
          </a:xfrm>
          <a:prstGeom prst="rect">
            <a:avLst/>
          </a:prstGeom>
        </xdr:spPr>
      </xdr:pic>
      <xdr:pic>
        <xdr:nvPicPr>
          <xdr:cNvPr id="39" name="Car">
            <a:extLst>
              <a:ext uri="{FF2B5EF4-FFF2-40B4-BE49-F238E27FC236}">
                <a16:creationId xmlns:a16="http://schemas.microsoft.com/office/drawing/2014/main" id="{00000000-0008-0000-4600-00002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217836" y="12273186"/>
            <a:ext cx="923856" cy="851667"/>
          </a:xfrm>
          <a:prstGeom prst="rect">
            <a:avLst/>
          </a:prstGeom>
        </xdr:spPr>
      </xdr:pic>
      <xdr:pic>
        <xdr:nvPicPr>
          <xdr:cNvPr id="36" name="City">
            <a:extLst>
              <a:ext uri="{FF2B5EF4-FFF2-40B4-BE49-F238E27FC236}">
                <a16:creationId xmlns:a16="http://schemas.microsoft.com/office/drawing/2014/main" id="{00000000-0008-0000-4600-00002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122892" y="10314645"/>
            <a:ext cx="5245811" cy="1269887"/>
          </a:xfrm>
          <a:prstGeom prst="rect">
            <a:avLst/>
          </a:prstGeom>
        </xdr:spPr>
      </xdr:pic>
      <xdr:pic>
        <xdr:nvPicPr>
          <xdr:cNvPr id="37" name="Piggy Bank">
            <a:extLst>
              <a:ext uri="{FF2B5EF4-FFF2-40B4-BE49-F238E27FC236}">
                <a16:creationId xmlns:a16="http://schemas.microsoft.com/office/drawing/2014/main" id="{00000000-0008-0000-4600-00002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567771" y="6488206"/>
            <a:ext cx="1751806" cy="1670349"/>
          </a:xfrm>
          <a:prstGeom prst="rect">
            <a:avLst/>
          </a:prstGeom>
        </xdr:spPr>
      </xdr:pic>
      <xdr:pic>
        <xdr:nvPicPr>
          <xdr:cNvPr id="35" name="Evergy 2">
            <a:extLst>
              <a:ext uri="{FF2B5EF4-FFF2-40B4-BE49-F238E27FC236}">
                <a16:creationId xmlns:a16="http://schemas.microsoft.com/office/drawing/2014/main" id="{00000000-0008-0000-4600-00002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262371" y="3012141"/>
            <a:ext cx="2165801" cy="788894"/>
          </a:xfrm>
          <a:prstGeom prst="rect">
            <a:avLst/>
          </a:prstGeom>
        </xdr:spPr>
      </xdr:pic>
      <xdr:sp macro="" textlink="">
        <xdr:nvSpPr>
          <xdr:cNvPr id="34" name="Bar">
            <a:extLst>
              <a:ext uri="{FF2B5EF4-FFF2-40B4-BE49-F238E27FC236}">
                <a16:creationId xmlns:a16="http://schemas.microsoft.com/office/drawing/2014/main" id="{00000000-0008-0000-4600-000022000000}"/>
              </a:ext>
            </a:extLst>
          </xdr:cNvPr>
          <xdr:cNvSpPr/>
        </xdr:nvSpPr>
        <xdr:spPr>
          <a:xfrm flipV="1">
            <a:off x="2921641" y="3791000"/>
            <a:ext cx="6099978" cy="24129"/>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37</xdr:col>
      <xdr:colOff>302559</xdr:colOff>
      <xdr:row>8</xdr:row>
      <xdr:rowOff>100854</xdr:rowOff>
    </xdr:from>
    <xdr:to>
      <xdr:col>43</xdr:col>
      <xdr:colOff>261213</xdr:colOff>
      <xdr:row>12</xdr:row>
      <xdr:rowOff>19813</xdr:rowOff>
    </xdr:to>
    <xdr:grpSp>
      <xdr:nvGrpSpPr>
        <xdr:cNvPr id="11" name="Submission">
          <a:extLst>
            <a:ext uri="{FF2B5EF4-FFF2-40B4-BE49-F238E27FC236}">
              <a16:creationId xmlns:a16="http://schemas.microsoft.com/office/drawing/2014/main" id="{00000000-0008-0000-4600-00000B000000}"/>
            </a:ext>
          </a:extLst>
        </xdr:cNvPr>
        <xdr:cNvGrpSpPr/>
      </xdr:nvGrpSpPr>
      <xdr:grpSpPr>
        <a:xfrm>
          <a:off x="11911853" y="1714501"/>
          <a:ext cx="1841242" cy="725783"/>
          <a:chOff x="12243547" y="1678642"/>
          <a:chExt cx="1895031" cy="707853"/>
        </a:xfrm>
      </xdr:grpSpPr>
      <xdr:sp macro="" textlink="">
        <xdr:nvSpPr>
          <xdr:cNvPr id="29" name="Submission">
            <a:hlinkClick xmlns:r="http://schemas.openxmlformats.org/officeDocument/2006/relationships" r:id="rId8" tooltip="Submission Instructions"/>
            <a:extLst>
              <a:ext uri="{FF2B5EF4-FFF2-40B4-BE49-F238E27FC236}">
                <a16:creationId xmlns:a16="http://schemas.microsoft.com/office/drawing/2014/main" id="{00000000-0008-0000-4600-00001D000000}"/>
              </a:ext>
            </a:extLst>
          </xdr:cNvPr>
          <xdr:cNvSpPr/>
        </xdr:nvSpPr>
        <xdr:spPr>
          <a:xfrm>
            <a:off x="12243547" y="1678642"/>
            <a:ext cx="1895031" cy="707853"/>
          </a:xfrm>
          <a:prstGeom prst="roundRect">
            <a:avLst>
              <a:gd name="adj" fmla="val 48870"/>
            </a:avLst>
          </a:prstGeom>
          <a:solidFill>
            <a:srgbClr val="317CC0"/>
          </a:solidFill>
          <a:ln w="28575">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30" name="Arrow: Right N5S4">
            <a:hlinkClick xmlns:r="http://schemas.openxmlformats.org/officeDocument/2006/relationships" r:id="rId8" tooltip="Submission Instructions"/>
            <a:extLst>
              <a:ext uri="{FF2B5EF4-FFF2-40B4-BE49-F238E27FC236}">
                <a16:creationId xmlns:a16="http://schemas.microsoft.com/office/drawing/2014/main" id="{00000000-0008-0000-4600-00001E000000}"/>
              </a:ext>
            </a:extLst>
          </xdr:cNvPr>
          <xdr:cNvSpPr/>
        </xdr:nvSpPr>
        <xdr:spPr>
          <a:xfrm>
            <a:off x="13523738" y="1817438"/>
            <a:ext cx="550857" cy="420445"/>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9</xdr:col>
      <xdr:colOff>100852</xdr:colOff>
      <xdr:row>10</xdr:row>
      <xdr:rowOff>100855</xdr:rowOff>
    </xdr:from>
    <xdr:to>
      <xdr:col>10</xdr:col>
      <xdr:colOff>257734</xdr:colOff>
      <xdr:row>12</xdr:row>
      <xdr:rowOff>147919</xdr:rowOff>
    </xdr:to>
    <xdr:grpSp>
      <xdr:nvGrpSpPr>
        <xdr:cNvPr id="9" name="Print">
          <a:extLst>
            <a:ext uri="{FF2B5EF4-FFF2-40B4-BE49-F238E27FC236}">
              <a16:creationId xmlns:a16="http://schemas.microsoft.com/office/drawing/2014/main" id="{00000000-0008-0000-4600-000009000000}"/>
            </a:ext>
          </a:extLst>
        </xdr:cNvPr>
        <xdr:cNvGrpSpPr/>
      </xdr:nvGrpSpPr>
      <xdr:grpSpPr>
        <a:xfrm>
          <a:off x="2924734" y="2117914"/>
          <a:ext cx="470647" cy="450476"/>
          <a:chOff x="3005417" y="2091020"/>
          <a:chExt cx="479611" cy="441511"/>
        </a:xfrm>
      </xdr:grpSpPr>
      <xdr:pic>
        <xdr:nvPicPr>
          <xdr:cNvPr id="32" name="Char" descr="Exclamation mark">
            <a:extLst>
              <a:ext uri="{FF2B5EF4-FFF2-40B4-BE49-F238E27FC236}">
                <a16:creationId xmlns:a16="http://schemas.microsoft.com/office/drawing/2014/main" id="{00000000-0008-0000-4600-000020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3071746" y="2155407"/>
            <a:ext cx="346953" cy="312737"/>
          </a:xfrm>
          <a:prstGeom prst="rect">
            <a:avLst/>
          </a:prstGeom>
        </xdr:spPr>
      </xdr:pic>
      <xdr:sp macro="" textlink="">
        <xdr:nvSpPr>
          <xdr:cNvPr id="33" name="Oval">
            <a:extLst>
              <a:ext uri="{FF2B5EF4-FFF2-40B4-BE49-F238E27FC236}">
                <a16:creationId xmlns:a16="http://schemas.microsoft.com/office/drawing/2014/main" id="{00000000-0008-0000-4600-000021000000}"/>
              </a:ext>
            </a:extLst>
          </xdr:cNvPr>
          <xdr:cNvSpPr/>
        </xdr:nvSpPr>
        <xdr:spPr>
          <a:xfrm>
            <a:off x="3005417" y="2091020"/>
            <a:ext cx="479611" cy="441511"/>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212910</xdr:colOff>
      <xdr:row>8</xdr:row>
      <xdr:rowOff>100854</xdr:rowOff>
    </xdr:from>
    <xdr:to>
      <xdr:col>3</xdr:col>
      <xdr:colOff>112057</xdr:colOff>
      <xdr:row>10</xdr:row>
      <xdr:rowOff>126852</xdr:rowOff>
    </xdr:to>
    <xdr:sp macro="" textlink="">
      <xdr:nvSpPr>
        <xdr:cNvPr id="10" name="Arrow: Left N5S2-1">
          <a:hlinkClick xmlns:r="http://schemas.openxmlformats.org/officeDocument/2006/relationships" r:id="rId11" tooltip="Back: Project Review"/>
          <a:extLst>
            <a:ext uri="{FF2B5EF4-FFF2-40B4-BE49-F238E27FC236}">
              <a16:creationId xmlns:a16="http://schemas.microsoft.com/office/drawing/2014/main" id="{00000000-0008-0000-4600-00000A000000}"/>
            </a:ext>
          </a:extLst>
        </xdr:cNvPr>
        <xdr:cNvSpPr/>
      </xdr:nvSpPr>
      <xdr:spPr>
        <a:xfrm>
          <a:off x="527235" y="1701054"/>
          <a:ext cx="527797" cy="42716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0</xdr:colOff>
      <xdr:row>3</xdr:row>
      <xdr:rowOff>0</xdr:rowOff>
    </xdr:from>
    <xdr:to>
      <xdr:col>41</xdr:col>
      <xdr:colOff>223215</xdr:colOff>
      <xdr:row>7</xdr:row>
      <xdr:rowOff>196408</xdr:rowOff>
    </xdr:to>
    <xdr:grpSp>
      <xdr:nvGrpSpPr>
        <xdr:cNvPr id="2" name="Navigation">
          <a:extLst>
            <a:ext uri="{FF2B5EF4-FFF2-40B4-BE49-F238E27FC236}">
              <a16:creationId xmlns:a16="http://schemas.microsoft.com/office/drawing/2014/main" id="{00000000-0008-0000-4600-000002000000}"/>
            </a:ext>
          </a:extLst>
        </xdr:cNvPr>
        <xdr:cNvGrpSpPr/>
      </xdr:nvGrpSpPr>
      <xdr:grpSpPr>
        <a:xfrm>
          <a:off x="1882588" y="605118"/>
          <a:ext cx="11204980" cy="1003231"/>
          <a:chOff x="1576553" y="592282"/>
          <a:chExt cx="11373937" cy="986117"/>
        </a:xfrm>
      </xdr:grpSpPr>
      <xdr:cxnSp macro="">
        <xdr:nvCxnSpPr>
          <xdr:cNvPr id="3" name="Reference">
            <a:extLst>
              <a:ext uri="{FF2B5EF4-FFF2-40B4-BE49-F238E27FC236}">
                <a16:creationId xmlns:a16="http://schemas.microsoft.com/office/drawing/2014/main" id="{00000000-0008-0000-4600-000003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4600-000004000000}"/>
              </a:ext>
            </a:extLst>
          </xdr:cNvPr>
          <xdr:cNvSpPr/>
        </xdr:nvSpPr>
        <xdr:spPr>
          <a:xfrm>
            <a:off x="11134483"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5" name="6: Payment">
            <a:hlinkClick xmlns:r="http://schemas.openxmlformats.org/officeDocument/2006/relationships" r:id="rId13" tooltip="Payment"/>
            <a:extLst>
              <a:ext uri="{FF2B5EF4-FFF2-40B4-BE49-F238E27FC236}">
                <a16:creationId xmlns:a16="http://schemas.microsoft.com/office/drawing/2014/main" id="{00000000-0008-0000-4600-000005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6" name="5: Equipment Input">
            <a:hlinkClick xmlns:r="http://schemas.openxmlformats.org/officeDocument/2006/relationships" r:id="rId14" tooltip="Equipment Input"/>
            <a:extLst>
              <a:ext uri="{FF2B5EF4-FFF2-40B4-BE49-F238E27FC236}">
                <a16:creationId xmlns:a16="http://schemas.microsoft.com/office/drawing/2014/main" id="{00000000-0008-0000-4600-000006000000}"/>
              </a:ext>
            </a:extLst>
          </xdr:cNvPr>
          <xdr:cNvSpPr/>
        </xdr:nvSpPr>
        <xdr:spPr>
          <a:xfrm>
            <a:off x="7948506"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7" name="4: DTM">
            <a:hlinkClick xmlns:r="http://schemas.openxmlformats.org/officeDocument/2006/relationships" r:id="rId15" tooltip="Building Information"/>
            <a:extLst>
              <a:ext uri="{FF2B5EF4-FFF2-40B4-BE49-F238E27FC236}">
                <a16:creationId xmlns:a16="http://schemas.microsoft.com/office/drawing/2014/main" id="{00000000-0008-0000-4600-000007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8" name="3: Customer/Bldg Info">
            <a:hlinkClick xmlns:r="http://schemas.openxmlformats.org/officeDocument/2006/relationships" r:id="rId16" tooltip="Customer Information"/>
            <a:extLst>
              <a:ext uri="{FF2B5EF4-FFF2-40B4-BE49-F238E27FC236}">
                <a16:creationId xmlns:a16="http://schemas.microsoft.com/office/drawing/2014/main" id="{00000000-0008-0000-4600-000008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7" name="2: Design Team">
            <a:hlinkClick xmlns:r="http://schemas.openxmlformats.org/officeDocument/2006/relationships" r:id="rId17" tooltip="Trade Ally/Vendor Information"/>
            <a:extLst>
              <a:ext uri="{FF2B5EF4-FFF2-40B4-BE49-F238E27FC236}">
                <a16:creationId xmlns:a16="http://schemas.microsoft.com/office/drawing/2014/main" id="{00000000-0008-0000-4600-000011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8" name="1: T&amp;C's">
            <a:hlinkClick xmlns:r="http://schemas.openxmlformats.org/officeDocument/2006/relationships" r:id="rId18" tooltip="Terms &amp; Conditions"/>
            <a:extLst>
              <a:ext uri="{FF2B5EF4-FFF2-40B4-BE49-F238E27FC236}">
                <a16:creationId xmlns:a16="http://schemas.microsoft.com/office/drawing/2014/main" id="{00000000-0008-0000-4600-000012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13" name="Header">
          <a:extLst>
            <a:ext uri="{FF2B5EF4-FFF2-40B4-BE49-F238E27FC236}">
              <a16:creationId xmlns:a16="http://schemas.microsoft.com/office/drawing/2014/main" id="{00000000-0008-0000-4600-00000D000000}"/>
            </a:ext>
          </a:extLst>
        </xdr:cNvPr>
        <xdr:cNvGrpSpPr/>
      </xdr:nvGrpSpPr>
      <xdr:grpSpPr>
        <a:xfrm>
          <a:off x="0" y="0"/>
          <a:ext cx="15374471" cy="605118"/>
          <a:chOff x="0" y="0"/>
          <a:chExt cx="15822705" cy="591825"/>
        </a:xfrm>
      </xdr:grpSpPr>
      <xdr:grpSp>
        <xdr:nvGrpSpPr>
          <xdr:cNvPr id="14" name="Header">
            <a:extLst>
              <a:ext uri="{FF2B5EF4-FFF2-40B4-BE49-F238E27FC236}">
                <a16:creationId xmlns:a16="http://schemas.microsoft.com/office/drawing/2014/main" id="{00000000-0008-0000-4600-00000E000000}"/>
              </a:ext>
            </a:extLst>
          </xdr:cNvPr>
          <xdr:cNvGrpSpPr/>
        </xdr:nvGrpSpPr>
        <xdr:grpSpPr>
          <a:xfrm>
            <a:off x="0" y="0"/>
            <a:ext cx="15822705" cy="591825"/>
            <a:chOff x="0" y="0"/>
            <a:chExt cx="15822705" cy="591825"/>
          </a:xfrm>
        </xdr:grpSpPr>
        <xdr:sp macro="" textlink="">
          <xdr:nvSpPr>
            <xdr:cNvPr id="22" name="Reference">
              <a:extLst>
                <a:ext uri="{FF2B5EF4-FFF2-40B4-BE49-F238E27FC236}">
                  <a16:creationId xmlns:a16="http://schemas.microsoft.com/office/drawing/2014/main" id="{00000000-0008-0000-4600-000016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Contact">
              <a:hlinkClick xmlns:r="http://schemas.openxmlformats.org/officeDocument/2006/relationships" r:id="rId19" tooltip="Contact"/>
              <a:extLst>
                <a:ext uri="{FF2B5EF4-FFF2-40B4-BE49-F238E27FC236}">
                  <a16:creationId xmlns:a16="http://schemas.microsoft.com/office/drawing/2014/main" id="{00000000-0008-0000-4600-000017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Completion">
              <a:hlinkClick xmlns:r="http://schemas.openxmlformats.org/officeDocument/2006/relationships" r:id="rId20" tooltip=" "/>
              <a:extLst>
                <a:ext uri="{FF2B5EF4-FFF2-40B4-BE49-F238E27FC236}">
                  <a16:creationId xmlns:a16="http://schemas.microsoft.com/office/drawing/2014/main" id="{00000000-0008-0000-4600-000018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Offer">
              <a:hlinkClick xmlns:r="http://schemas.openxmlformats.org/officeDocument/2006/relationships" r:id="rId21" tooltip=" "/>
              <a:extLst>
                <a:ext uri="{FF2B5EF4-FFF2-40B4-BE49-F238E27FC236}">
                  <a16:creationId xmlns:a16="http://schemas.microsoft.com/office/drawing/2014/main" id="{00000000-0008-0000-4600-000019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Instructions">
              <a:hlinkClick xmlns:r="http://schemas.openxmlformats.org/officeDocument/2006/relationships" r:id="rId22" tooltip="Instructions"/>
              <a:extLst>
                <a:ext uri="{FF2B5EF4-FFF2-40B4-BE49-F238E27FC236}">
                  <a16:creationId xmlns:a16="http://schemas.microsoft.com/office/drawing/2014/main" id="{00000000-0008-0000-4600-00001A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Welcome">
              <a:hlinkClick xmlns:r="http://schemas.openxmlformats.org/officeDocument/2006/relationships" r:id="rId23" tooltip="Welcome"/>
              <a:extLst>
                <a:ext uri="{FF2B5EF4-FFF2-40B4-BE49-F238E27FC236}">
                  <a16:creationId xmlns:a16="http://schemas.microsoft.com/office/drawing/2014/main" id="{00000000-0008-0000-4600-00001B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 name="Evergy Logo">
              <a:extLst>
                <a:ext uri="{FF2B5EF4-FFF2-40B4-BE49-F238E27FC236}">
                  <a16:creationId xmlns:a16="http://schemas.microsoft.com/office/drawing/2014/main" id="{00000000-0008-0000-4600-00001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15" name="Dividers">
            <a:extLst>
              <a:ext uri="{FF2B5EF4-FFF2-40B4-BE49-F238E27FC236}">
                <a16:creationId xmlns:a16="http://schemas.microsoft.com/office/drawing/2014/main" id="{00000000-0008-0000-4600-00000F000000}"/>
              </a:ext>
            </a:extLst>
          </xdr:cNvPr>
          <xdr:cNvGrpSpPr/>
        </xdr:nvGrpSpPr>
        <xdr:grpSpPr>
          <a:xfrm>
            <a:off x="1615312" y="85571"/>
            <a:ext cx="12926000" cy="423176"/>
            <a:chOff x="1615312" y="85571"/>
            <a:chExt cx="12926000" cy="423176"/>
          </a:xfrm>
        </xdr:grpSpPr>
        <xdr:cxnSp macro="">
          <xdr:nvCxnSpPr>
            <xdr:cNvPr id="16" name="Divider 4">
              <a:extLst>
                <a:ext uri="{FF2B5EF4-FFF2-40B4-BE49-F238E27FC236}">
                  <a16:creationId xmlns:a16="http://schemas.microsoft.com/office/drawing/2014/main" id="{00000000-0008-0000-4600-000010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3">
              <a:extLst>
                <a:ext uri="{FF2B5EF4-FFF2-40B4-BE49-F238E27FC236}">
                  <a16:creationId xmlns:a16="http://schemas.microsoft.com/office/drawing/2014/main" id="{00000000-0008-0000-4600-00001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2">
              <a:extLst>
                <a:ext uri="{FF2B5EF4-FFF2-40B4-BE49-F238E27FC236}">
                  <a16:creationId xmlns:a16="http://schemas.microsoft.com/office/drawing/2014/main" id="{00000000-0008-0000-4600-000014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1">
              <a:extLst>
                <a:ext uri="{FF2B5EF4-FFF2-40B4-BE49-F238E27FC236}">
                  <a16:creationId xmlns:a16="http://schemas.microsoft.com/office/drawing/2014/main" id="{00000000-0008-0000-4600-000015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29</xdr:col>
      <xdr:colOff>119530</xdr:colOff>
      <xdr:row>13</xdr:row>
      <xdr:rowOff>164353</xdr:rowOff>
    </xdr:from>
    <xdr:to>
      <xdr:col>36</xdr:col>
      <xdr:colOff>19503</xdr:colOff>
      <xdr:row>17</xdr:row>
      <xdr:rowOff>135026</xdr:rowOff>
    </xdr:to>
    <xdr:pic>
      <xdr:nvPicPr>
        <xdr:cNvPr id="3" name="Evergy 2">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editAs="oneCell">
    <xdr:from>
      <xdr:col>6</xdr:col>
      <xdr:colOff>0</xdr:colOff>
      <xdr:row>3</xdr:row>
      <xdr:rowOff>815</xdr:rowOff>
    </xdr:from>
    <xdr:to>
      <xdr:col>41</xdr:col>
      <xdr:colOff>223215</xdr:colOff>
      <xdr:row>8</xdr:row>
      <xdr:rowOff>0</xdr:rowOff>
    </xdr:to>
    <xdr:grpSp>
      <xdr:nvGrpSpPr>
        <xdr:cNvPr id="2" name="Navigation">
          <a:extLst>
            <a:ext uri="{FF2B5EF4-FFF2-40B4-BE49-F238E27FC236}">
              <a16:creationId xmlns:a16="http://schemas.microsoft.com/office/drawing/2014/main" id="{00000000-0008-0000-4700-000002000000}"/>
            </a:ext>
          </a:extLst>
        </xdr:cNvPr>
        <xdr:cNvGrpSpPr/>
      </xdr:nvGrpSpPr>
      <xdr:grpSpPr>
        <a:xfrm>
          <a:off x="1882588" y="605933"/>
          <a:ext cx="11204980" cy="1007714"/>
          <a:chOff x="1576553" y="592282"/>
          <a:chExt cx="11373937" cy="986117"/>
        </a:xfrm>
      </xdr:grpSpPr>
      <xdr:cxnSp macro="">
        <xdr:nvCxnSpPr>
          <xdr:cNvPr id="11" name="Reference">
            <a:extLst>
              <a:ext uri="{FF2B5EF4-FFF2-40B4-BE49-F238E27FC236}">
                <a16:creationId xmlns:a16="http://schemas.microsoft.com/office/drawing/2014/main" id="{00000000-0008-0000-4700-00000B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2" name="7: Project Review">
            <a:hlinkClick xmlns:r="http://schemas.openxmlformats.org/officeDocument/2006/relationships" r:id="rId2" tooltip="Project Review"/>
            <a:extLst>
              <a:ext uri="{FF2B5EF4-FFF2-40B4-BE49-F238E27FC236}">
                <a16:creationId xmlns:a16="http://schemas.microsoft.com/office/drawing/2014/main" id="{00000000-0008-0000-4700-00000C000000}"/>
              </a:ext>
            </a:extLst>
          </xdr:cNvPr>
          <xdr:cNvSpPr/>
        </xdr:nvSpPr>
        <xdr:spPr>
          <a:xfrm>
            <a:off x="11134483"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3" name="6: Payment">
            <a:hlinkClick xmlns:r="http://schemas.openxmlformats.org/officeDocument/2006/relationships" r:id="rId3" tooltip="Payment"/>
            <a:extLst>
              <a:ext uri="{FF2B5EF4-FFF2-40B4-BE49-F238E27FC236}">
                <a16:creationId xmlns:a16="http://schemas.microsoft.com/office/drawing/2014/main" id="{00000000-0008-0000-4700-00000D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4" name="5: Equipment Input">
            <a:hlinkClick xmlns:r="http://schemas.openxmlformats.org/officeDocument/2006/relationships" r:id="rId4" tooltip="Equipment Input"/>
            <a:extLst>
              <a:ext uri="{FF2B5EF4-FFF2-40B4-BE49-F238E27FC236}">
                <a16:creationId xmlns:a16="http://schemas.microsoft.com/office/drawing/2014/main" id="{00000000-0008-0000-4700-00000E000000}"/>
              </a:ext>
            </a:extLst>
          </xdr:cNvPr>
          <xdr:cNvSpPr/>
        </xdr:nvSpPr>
        <xdr:spPr>
          <a:xfrm>
            <a:off x="7948506"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5" name="4: DTM">
            <a:hlinkClick xmlns:r="http://schemas.openxmlformats.org/officeDocument/2006/relationships" r:id="rId5" tooltip="Building Information"/>
            <a:extLst>
              <a:ext uri="{FF2B5EF4-FFF2-40B4-BE49-F238E27FC236}">
                <a16:creationId xmlns:a16="http://schemas.microsoft.com/office/drawing/2014/main" id="{00000000-0008-0000-4700-00000F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6" name="3: Customer/Bldg Info">
            <a:hlinkClick xmlns:r="http://schemas.openxmlformats.org/officeDocument/2006/relationships" r:id="rId6" tooltip="Customer Information"/>
            <a:extLst>
              <a:ext uri="{FF2B5EF4-FFF2-40B4-BE49-F238E27FC236}">
                <a16:creationId xmlns:a16="http://schemas.microsoft.com/office/drawing/2014/main" id="{00000000-0008-0000-4700-000010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7" name="2: Design Team">
            <a:hlinkClick xmlns:r="http://schemas.openxmlformats.org/officeDocument/2006/relationships" r:id="rId7" tooltip="Trade Ally/Vendor Information"/>
            <a:extLst>
              <a:ext uri="{FF2B5EF4-FFF2-40B4-BE49-F238E27FC236}">
                <a16:creationId xmlns:a16="http://schemas.microsoft.com/office/drawing/2014/main" id="{00000000-0008-0000-4700-000011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8" name="1: T&amp;C's">
            <a:hlinkClick xmlns:r="http://schemas.openxmlformats.org/officeDocument/2006/relationships" r:id="rId8" tooltip="Terms &amp; Conditions"/>
            <a:extLst>
              <a:ext uri="{FF2B5EF4-FFF2-40B4-BE49-F238E27FC236}">
                <a16:creationId xmlns:a16="http://schemas.microsoft.com/office/drawing/2014/main" id="{00000000-0008-0000-4700-000012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4" name="Header">
          <a:extLst>
            <a:ext uri="{FF2B5EF4-FFF2-40B4-BE49-F238E27FC236}">
              <a16:creationId xmlns:a16="http://schemas.microsoft.com/office/drawing/2014/main" id="{00000000-0008-0000-4700-000004000000}"/>
            </a:ext>
          </a:extLst>
        </xdr:cNvPr>
        <xdr:cNvGrpSpPr/>
      </xdr:nvGrpSpPr>
      <xdr:grpSpPr>
        <a:xfrm>
          <a:off x="0" y="0"/>
          <a:ext cx="15374471" cy="605118"/>
          <a:chOff x="0" y="0"/>
          <a:chExt cx="15822705" cy="591825"/>
        </a:xfrm>
      </xdr:grpSpPr>
      <xdr:grpSp>
        <xdr:nvGrpSpPr>
          <xdr:cNvPr id="5" name="Header">
            <a:extLst>
              <a:ext uri="{FF2B5EF4-FFF2-40B4-BE49-F238E27FC236}">
                <a16:creationId xmlns:a16="http://schemas.microsoft.com/office/drawing/2014/main" id="{00000000-0008-0000-4700-000005000000}"/>
              </a:ext>
            </a:extLst>
          </xdr:cNvPr>
          <xdr:cNvGrpSpPr/>
        </xdr:nvGrpSpPr>
        <xdr:grpSpPr>
          <a:xfrm>
            <a:off x="0" y="0"/>
            <a:ext cx="15822705" cy="591825"/>
            <a:chOff x="0" y="0"/>
            <a:chExt cx="15822705" cy="591825"/>
          </a:xfrm>
        </xdr:grpSpPr>
        <xdr:sp macro="" textlink="">
          <xdr:nvSpPr>
            <xdr:cNvPr id="19" name="Reference">
              <a:extLst>
                <a:ext uri="{FF2B5EF4-FFF2-40B4-BE49-F238E27FC236}">
                  <a16:creationId xmlns:a16="http://schemas.microsoft.com/office/drawing/2014/main" id="{00000000-0008-0000-4700-000013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Contact">
              <a:hlinkClick xmlns:r="http://schemas.openxmlformats.org/officeDocument/2006/relationships" r:id="rId9" tooltip="Contact"/>
              <a:extLst>
                <a:ext uri="{FF2B5EF4-FFF2-40B4-BE49-F238E27FC236}">
                  <a16:creationId xmlns:a16="http://schemas.microsoft.com/office/drawing/2014/main" id="{00000000-0008-0000-4700-000014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Completion">
              <a:hlinkClick xmlns:r="http://schemas.openxmlformats.org/officeDocument/2006/relationships" r:id="rId10" tooltip=" "/>
              <a:extLst>
                <a:ext uri="{FF2B5EF4-FFF2-40B4-BE49-F238E27FC236}">
                  <a16:creationId xmlns:a16="http://schemas.microsoft.com/office/drawing/2014/main" id="{00000000-0008-0000-4700-000015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Offer">
              <a:hlinkClick xmlns:r="http://schemas.openxmlformats.org/officeDocument/2006/relationships" r:id="rId11" tooltip=" "/>
              <a:extLst>
                <a:ext uri="{FF2B5EF4-FFF2-40B4-BE49-F238E27FC236}">
                  <a16:creationId xmlns:a16="http://schemas.microsoft.com/office/drawing/2014/main" id="{00000000-0008-0000-4700-000016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Instructions">
              <a:hlinkClick xmlns:r="http://schemas.openxmlformats.org/officeDocument/2006/relationships" r:id="rId12" tooltip="Instructions"/>
              <a:extLst>
                <a:ext uri="{FF2B5EF4-FFF2-40B4-BE49-F238E27FC236}">
                  <a16:creationId xmlns:a16="http://schemas.microsoft.com/office/drawing/2014/main" id="{00000000-0008-0000-4700-000017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Welcome">
              <a:hlinkClick xmlns:r="http://schemas.openxmlformats.org/officeDocument/2006/relationships" r:id="rId13" tooltip="Welcome"/>
              <a:extLst>
                <a:ext uri="{FF2B5EF4-FFF2-40B4-BE49-F238E27FC236}">
                  <a16:creationId xmlns:a16="http://schemas.microsoft.com/office/drawing/2014/main" id="{00000000-0008-0000-4700-000018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5" name="Evergy Logo">
              <a:extLst>
                <a:ext uri="{FF2B5EF4-FFF2-40B4-BE49-F238E27FC236}">
                  <a16:creationId xmlns:a16="http://schemas.microsoft.com/office/drawing/2014/main" id="{00000000-0008-0000-4700-00001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6" name="Dividers">
            <a:extLst>
              <a:ext uri="{FF2B5EF4-FFF2-40B4-BE49-F238E27FC236}">
                <a16:creationId xmlns:a16="http://schemas.microsoft.com/office/drawing/2014/main" id="{00000000-0008-0000-4700-000006000000}"/>
              </a:ext>
            </a:extLst>
          </xdr:cNvPr>
          <xdr:cNvGrpSpPr/>
        </xdr:nvGrpSpPr>
        <xdr:grpSpPr>
          <a:xfrm>
            <a:off x="1615312" y="85571"/>
            <a:ext cx="12926000" cy="423176"/>
            <a:chOff x="1615312" y="85571"/>
            <a:chExt cx="12926000" cy="423176"/>
          </a:xfrm>
        </xdr:grpSpPr>
        <xdr:cxnSp macro="">
          <xdr:nvCxnSpPr>
            <xdr:cNvPr id="7" name="Divider 4">
              <a:extLst>
                <a:ext uri="{FF2B5EF4-FFF2-40B4-BE49-F238E27FC236}">
                  <a16:creationId xmlns:a16="http://schemas.microsoft.com/office/drawing/2014/main" id="{00000000-0008-0000-4700-000007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3">
              <a:extLst>
                <a:ext uri="{FF2B5EF4-FFF2-40B4-BE49-F238E27FC236}">
                  <a16:creationId xmlns:a16="http://schemas.microsoft.com/office/drawing/2014/main" id="{00000000-0008-0000-4700-000008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2">
              <a:extLst>
                <a:ext uri="{FF2B5EF4-FFF2-40B4-BE49-F238E27FC236}">
                  <a16:creationId xmlns:a16="http://schemas.microsoft.com/office/drawing/2014/main" id="{00000000-0008-0000-4700-000009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1">
              <a:extLst>
                <a:ext uri="{FF2B5EF4-FFF2-40B4-BE49-F238E27FC236}">
                  <a16:creationId xmlns:a16="http://schemas.microsoft.com/office/drawing/2014/main" id="{00000000-0008-0000-4700-00000A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xdr:twoCellAnchor editAs="oneCell">
    <xdr:from>
      <xdr:col>26</xdr:col>
      <xdr:colOff>29133</xdr:colOff>
      <xdr:row>42</xdr:row>
      <xdr:rowOff>197224</xdr:rowOff>
    </xdr:from>
    <xdr:to>
      <xdr:col>27</xdr:col>
      <xdr:colOff>304799</xdr:colOff>
      <xdr:row>43</xdr:row>
      <xdr:rowOff>161925</xdr:rowOff>
    </xdr:to>
    <xdr:sp macro="" textlink="">
      <xdr:nvSpPr>
        <xdr:cNvPr id="4" name="Payment">
          <a:hlinkClick xmlns:r="http://schemas.openxmlformats.org/officeDocument/2006/relationships" r:id="rId1" tooltip="Payment"/>
          <a:extLst>
            <a:ext uri="{FF2B5EF4-FFF2-40B4-BE49-F238E27FC236}">
              <a16:creationId xmlns:a16="http://schemas.microsoft.com/office/drawing/2014/main" id="{00000000-0008-0000-4800-000004000000}"/>
            </a:ext>
          </a:extLst>
        </xdr:cNvPr>
        <xdr:cNvSpPr/>
      </xdr:nvSpPr>
      <xdr:spPr>
        <a:xfrm>
          <a:off x="8201583" y="8598274"/>
          <a:ext cx="589991" cy="1647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106680</xdr:colOff>
          <xdr:row>46</xdr:row>
          <xdr:rowOff>7620</xdr:rowOff>
        </xdr:from>
        <xdr:to>
          <xdr:col>10</xdr:col>
          <xdr:colOff>22860</xdr:colOff>
          <xdr:row>50</xdr:row>
          <xdr:rowOff>0</xdr:rowOff>
        </xdr:to>
        <xdr:grpSp>
          <xdr:nvGrpSpPr>
            <xdr:cNvPr id="6" name="Verify">
              <a:extLst>
                <a:ext uri="{FF2B5EF4-FFF2-40B4-BE49-F238E27FC236}">
                  <a16:creationId xmlns:a16="http://schemas.microsoft.com/office/drawing/2014/main" id="{00000000-0008-0000-4800-000006000000}"/>
                </a:ext>
              </a:extLst>
            </xdr:cNvPr>
            <xdr:cNvGrpSpPr/>
          </xdr:nvGrpSpPr>
          <xdr:grpSpPr>
            <a:xfrm>
              <a:off x="2930562" y="9286091"/>
              <a:ext cx="229945" cy="799203"/>
              <a:chOff x="3011245" y="9079910"/>
              <a:chExt cx="238909" cy="781269"/>
            </a:xfrm>
          </xdr:grpSpPr>
          <xdr:sp macro="" textlink="">
            <xdr:nvSpPr>
              <xdr:cNvPr id="232452" name="Compl WBP" hidden="1">
                <a:extLst>
                  <a:ext uri="{63B3BB69-23CF-44E3-9099-C40C66FF867C}">
                    <a14:compatExt spid="_x0000_s232452"/>
                  </a:ext>
                  <a:ext uri="{FF2B5EF4-FFF2-40B4-BE49-F238E27FC236}">
                    <a16:creationId xmlns:a16="http://schemas.microsoft.com/office/drawing/2014/main" id="{00000000-0008-0000-2500-0000048C0300}"/>
                  </a:ext>
                </a:extLst>
              </xdr:cNvPr>
              <xdr:cNvSpPr/>
            </xdr:nvSpPr>
            <xdr:spPr bwMode="auto">
              <a:xfrm>
                <a:off x="3011245" y="9649612"/>
                <a:ext cx="238909" cy="21156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32451" name="Compl Std" hidden="1">
                <a:extLst>
                  <a:ext uri="{63B3BB69-23CF-44E3-9099-C40C66FF867C}">
                    <a14:compatExt spid="_x0000_s232451"/>
                  </a:ext>
                  <a:ext uri="{FF2B5EF4-FFF2-40B4-BE49-F238E27FC236}">
                    <a16:creationId xmlns:a16="http://schemas.microsoft.com/office/drawing/2014/main" id="{00000000-0008-0000-2500-0000038C0300}"/>
                  </a:ext>
                </a:extLst>
              </xdr:cNvPr>
              <xdr:cNvSpPr/>
            </xdr:nvSpPr>
            <xdr:spPr bwMode="auto">
              <a:xfrm>
                <a:off x="3011245" y="9460006"/>
                <a:ext cx="238909" cy="21156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32450" name="Compl Int. Ltg." hidden="1">
                <a:extLst>
                  <a:ext uri="{63B3BB69-23CF-44E3-9099-C40C66FF867C}">
                    <a14:compatExt spid="_x0000_s232450"/>
                  </a:ext>
                  <a:ext uri="{FF2B5EF4-FFF2-40B4-BE49-F238E27FC236}">
                    <a16:creationId xmlns:a16="http://schemas.microsoft.com/office/drawing/2014/main" id="{00000000-0008-0000-2500-0000028C0300}"/>
                  </a:ext>
                </a:extLst>
              </xdr:cNvPr>
              <xdr:cNvSpPr/>
            </xdr:nvSpPr>
            <xdr:spPr bwMode="auto">
              <a:xfrm>
                <a:off x="3011245" y="9262782"/>
                <a:ext cx="238909" cy="21156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32449" name="Review Cstm" hidden="1">
                <a:extLst>
                  <a:ext uri="{63B3BB69-23CF-44E3-9099-C40C66FF867C}">
                    <a14:compatExt spid="_x0000_s232449"/>
                  </a:ext>
                  <a:ext uri="{FF2B5EF4-FFF2-40B4-BE49-F238E27FC236}">
                    <a16:creationId xmlns:a16="http://schemas.microsoft.com/office/drawing/2014/main" id="{00000000-0008-0000-2500-0000018C0300}"/>
                  </a:ext>
                </a:extLst>
              </xdr:cNvPr>
              <xdr:cNvSpPr/>
            </xdr:nvSpPr>
            <xdr:spPr bwMode="auto">
              <a:xfrm>
                <a:off x="3011245" y="9079910"/>
                <a:ext cx="238909" cy="2124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twoCellAnchor editAs="oneCell">
    <xdr:from>
      <xdr:col>29</xdr:col>
      <xdr:colOff>119530</xdr:colOff>
      <xdr:row>13</xdr:row>
      <xdr:rowOff>164353</xdr:rowOff>
    </xdr:from>
    <xdr:to>
      <xdr:col>36</xdr:col>
      <xdr:colOff>19503</xdr:colOff>
      <xdr:row>17</xdr:row>
      <xdr:rowOff>135026</xdr:rowOff>
    </xdr:to>
    <xdr:pic>
      <xdr:nvPicPr>
        <xdr:cNvPr id="5" name="Evergy 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editAs="oneCell">
    <xdr:from>
      <xdr:col>26</xdr:col>
      <xdr:colOff>266700</xdr:colOff>
      <xdr:row>10</xdr:row>
      <xdr:rowOff>6723</xdr:rowOff>
    </xdr:from>
    <xdr:to>
      <xdr:col>30</xdr:col>
      <xdr:colOff>9525</xdr:colOff>
      <xdr:row>11</xdr:row>
      <xdr:rowOff>19049</xdr:rowOff>
    </xdr:to>
    <xdr:sp macro="" textlink="">
      <xdr:nvSpPr>
        <xdr:cNvPr id="26" name="Incentive Input">
          <a:hlinkClick xmlns:r="http://schemas.openxmlformats.org/officeDocument/2006/relationships" r:id="rId3" tooltip="Incentive Input"/>
          <a:extLst>
            <a:ext uri="{FF2B5EF4-FFF2-40B4-BE49-F238E27FC236}">
              <a16:creationId xmlns:a16="http://schemas.microsoft.com/office/drawing/2014/main" id="{00000000-0008-0000-4800-00001A000000}"/>
            </a:ext>
          </a:extLst>
        </xdr:cNvPr>
        <xdr:cNvSpPr/>
      </xdr:nvSpPr>
      <xdr:spPr>
        <a:xfrm>
          <a:off x="8439150" y="2006973"/>
          <a:ext cx="1000125" cy="212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0</xdr:colOff>
      <xdr:row>3</xdr:row>
      <xdr:rowOff>815</xdr:rowOff>
    </xdr:from>
    <xdr:to>
      <xdr:col>41</xdr:col>
      <xdr:colOff>223215</xdr:colOff>
      <xdr:row>8</xdr:row>
      <xdr:rowOff>0</xdr:rowOff>
    </xdr:to>
    <xdr:grpSp>
      <xdr:nvGrpSpPr>
        <xdr:cNvPr id="2" name="Navigation">
          <a:extLst>
            <a:ext uri="{FF2B5EF4-FFF2-40B4-BE49-F238E27FC236}">
              <a16:creationId xmlns:a16="http://schemas.microsoft.com/office/drawing/2014/main" id="{00000000-0008-0000-4800-000002000000}"/>
            </a:ext>
          </a:extLst>
        </xdr:cNvPr>
        <xdr:cNvGrpSpPr/>
      </xdr:nvGrpSpPr>
      <xdr:grpSpPr>
        <a:xfrm>
          <a:off x="1882588" y="605933"/>
          <a:ext cx="11204980" cy="1007714"/>
          <a:chOff x="1576553" y="592282"/>
          <a:chExt cx="11373937" cy="986117"/>
        </a:xfrm>
      </xdr:grpSpPr>
      <xdr:cxnSp macro="">
        <xdr:nvCxnSpPr>
          <xdr:cNvPr id="3" name="Reference">
            <a:extLst>
              <a:ext uri="{FF2B5EF4-FFF2-40B4-BE49-F238E27FC236}">
                <a16:creationId xmlns:a16="http://schemas.microsoft.com/office/drawing/2014/main" id="{00000000-0008-0000-4800-000003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3" name="7: Project Review">
            <a:hlinkClick xmlns:r="http://schemas.openxmlformats.org/officeDocument/2006/relationships" r:id="rId4" tooltip="Project Review"/>
            <a:extLst>
              <a:ext uri="{FF2B5EF4-FFF2-40B4-BE49-F238E27FC236}">
                <a16:creationId xmlns:a16="http://schemas.microsoft.com/office/drawing/2014/main" id="{00000000-0008-0000-4800-00000D000000}"/>
              </a:ext>
            </a:extLst>
          </xdr:cNvPr>
          <xdr:cNvSpPr/>
        </xdr:nvSpPr>
        <xdr:spPr>
          <a:xfrm>
            <a:off x="11134483"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4" name="6: Payment">
            <a:hlinkClick xmlns:r="http://schemas.openxmlformats.org/officeDocument/2006/relationships" r:id="rId5" tooltip="Payment"/>
            <a:extLst>
              <a:ext uri="{FF2B5EF4-FFF2-40B4-BE49-F238E27FC236}">
                <a16:creationId xmlns:a16="http://schemas.microsoft.com/office/drawing/2014/main" id="{00000000-0008-0000-4800-00000E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5" name="5: Equipment Input">
            <a:hlinkClick xmlns:r="http://schemas.openxmlformats.org/officeDocument/2006/relationships" r:id="rId6" tooltip="Equipment Input"/>
            <a:extLst>
              <a:ext uri="{FF2B5EF4-FFF2-40B4-BE49-F238E27FC236}">
                <a16:creationId xmlns:a16="http://schemas.microsoft.com/office/drawing/2014/main" id="{00000000-0008-0000-4800-00000F000000}"/>
              </a:ext>
            </a:extLst>
          </xdr:cNvPr>
          <xdr:cNvSpPr/>
        </xdr:nvSpPr>
        <xdr:spPr>
          <a:xfrm>
            <a:off x="7948506"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6" name="4: DTM">
            <a:hlinkClick xmlns:r="http://schemas.openxmlformats.org/officeDocument/2006/relationships" r:id="rId7" tooltip="Building Information"/>
            <a:extLst>
              <a:ext uri="{FF2B5EF4-FFF2-40B4-BE49-F238E27FC236}">
                <a16:creationId xmlns:a16="http://schemas.microsoft.com/office/drawing/2014/main" id="{00000000-0008-0000-4800-000010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7" name="3: Customer/Bldg Info">
            <a:hlinkClick xmlns:r="http://schemas.openxmlformats.org/officeDocument/2006/relationships" r:id="rId8" tooltip="Customer Information"/>
            <a:extLst>
              <a:ext uri="{FF2B5EF4-FFF2-40B4-BE49-F238E27FC236}">
                <a16:creationId xmlns:a16="http://schemas.microsoft.com/office/drawing/2014/main" id="{00000000-0008-0000-4800-000011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8" name="2: Design Team">
            <a:hlinkClick xmlns:r="http://schemas.openxmlformats.org/officeDocument/2006/relationships" r:id="rId9" tooltip="Trade Ally/Vendor Information"/>
            <a:extLst>
              <a:ext uri="{FF2B5EF4-FFF2-40B4-BE49-F238E27FC236}">
                <a16:creationId xmlns:a16="http://schemas.microsoft.com/office/drawing/2014/main" id="{00000000-0008-0000-4800-000012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9" name="1: T&amp;C's">
            <a:hlinkClick xmlns:r="http://schemas.openxmlformats.org/officeDocument/2006/relationships" r:id="rId10" tooltip="Terms &amp; Conditions"/>
            <a:extLst>
              <a:ext uri="{FF2B5EF4-FFF2-40B4-BE49-F238E27FC236}">
                <a16:creationId xmlns:a16="http://schemas.microsoft.com/office/drawing/2014/main" id="{00000000-0008-0000-4800-000013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7" name="Header">
          <a:extLst>
            <a:ext uri="{FF2B5EF4-FFF2-40B4-BE49-F238E27FC236}">
              <a16:creationId xmlns:a16="http://schemas.microsoft.com/office/drawing/2014/main" id="{00000000-0008-0000-4800-000007000000}"/>
            </a:ext>
          </a:extLst>
        </xdr:cNvPr>
        <xdr:cNvGrpSpPr/>
      </xdr:nvGrpSpPr>
      <xdr:grpSpPr>
        <a:xfrm>
          <a:off x="0" y="0"/>
          <a:ext cx="15374471" cy="605118"/>
          <a:chOff x="0" y="0"/>
          <a:chExt cx="15822705" cy="591825"/>
        </a:xfrm>
      </xdr:grpSpPr>
      <xdr:grpSp>
        <xdr:nvGrpSpPr>
          <xdr:cNvPr id="8" name="Header">
            <a:extLst>
              <a:ext uri="{FF2B5EF4-FFF2-40B4-BE49-F238E27FC236}">
                <a16:creationId xmlns:a16="http://schemas.microsoft.com/office/drawing/2014/main" id="{00000000-0008-0000-4800-000008000000}"/>
              </a:ext>
            </a:extLst>
          </xdr:cNvPr>
          <xdr:cNvGrpSpPr/>
        </xdr:nvGrpSpPr>
        <xdr:grpSpPr>
          <a:xfrm>
            <a:off x="0" y="0"/>
            <a:ext cx="15822705" cy="591825"/>
            <a:chOff x="0" y="0"/>
            <a:chExt cx="15822705" cy="591825"/>
          </a:xfrm>
        </xdr:grpSpPr>
        <xdr:sp macro="" textlink="">
          <xdr:nvSpPr>
            <xdr:cNvPr id="21" name="Reference">
              <a:extLst>
                <a:ext uri="{FF2B5EF4-FFF2-40B4-BE49-F238E27FC236}">
                  <a16:creationId xmlns:a16="http://schemas.microsoft.com/office/drawing/2014/main" id="{00000000-0008-0000-4800-000015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ntact">
              <a:hlinkClick xmlns:r="http://schemas.openxmlformats.org/officeDocument/2006/relationships" r:id="rId11" tooltip="Contact"/>
              <a:extLst>
                <a:ext uri="{FF2B5EF4-FFF2-40B4-BE49-F238E27FC236}">
                  <a16:creationId xmlns:a16="http://schemas.microsoft.com/office/drawing/2014/main" id="{00000000-0008-0000-4800-000016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Completion">
              <a:hlinkClick xmlns:r="http://schemas.openxmlformats.org/officeDocument/2006/relationships" r:id="rId12" tooltip=" "/>
              <a:extLst>
                <a:ext uri="{FF2B5EF4-FFF2-40B4-BE49-F238E27FC236}">
                  <a16:creationId xmlns:a16="http://schemas.microsoft.com/office/drawing/2014/main" id="{00000000-0008-0000-4800-000017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Offer">
              <a:hlinkClick xmlns:r="http://schemas.openxmlformats.org/officeDocument/2006/relationships" r:id="rId13" tooltip=" "/>
              <a:extLst>
                <a:ext uri="{FF2B5EF4-FFF2-40B4-BE49-F238E27FC236}">
                  <a16:creationId xmlns:a16="http://schemas.microsoft.com/office/drawing/2014/main" id="{00000000-0008-0000-4800-000018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Instructions">
              <a:hlinkClick xmlns:r="http://schemas.openxmlformats.org/officeDocument/2006/relationships" r:id="rId14" tooltip="Instructions"/>
              <a:extLst>
                <a:ext uri="{FF2B5EF4-FFF2-40B4-BE49-F238E27FC236}">
                  <a16:creationId xmlns:a16="http://schemas.microsoft.com/office/drawing/2014/main" id="{00000000-0008-0000-4800-000019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Welcome">
              <a:hlinkClick xmlns:r="http://schemas.openxmlformats.org/officeDocument/2006/relationships" r:id="rId15" tooltip="Welcome"/>
              <a:extLst>
                <a:ext uri="{FF2B5EF4-FFF2-40B4-BE49-F238E27FC236}">
                  <a16:creationId xmlns:a16="http://schemas.microsoft.com/office/drawing/2014/main" id="{00000000-0008-0000-4800-00001B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 name="Evergy Logo">
              <a:extLst>
                <a:ext uri="{FF2B5EF4-FFF2-40B4-BE49-F238E27FC236}">
                  <a16:creationId xmlns:a16="http://schemas.microsoft.com/office/drawing/2014/main" id="{00000000-0008-0000-4800-00001C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9" name="Dividers">
            <a:extLst>
              <a:ext uri="{FF2B5EF4-FFF2-40B4-BE49-F238E27FC236}">
                <a16:creationId xmlns:a16="http://schemas.microsoft.com/office/drawing/2014/main" id="{00000000-0008-0000-4800-000009000000}"/>
              </a:ext>
            </a:extLst>
          </xdr:cNvPr>
          <xdr:cNvGrpSpPr/>
        </xdr:nvGrpSpPr>
        <xdr:grpSpPr>
          <a:xfrm>
            <a:off x="1615312" y="85571"/>
            <a:ext cx="12926000" cy="423176"/>
            <a:chOff x="1615312" y="85571"/>
            <a:chExt cx="12926000" cy="423176"/>
          </a:xfrm>
        </xdr:grpSpPr>
        <xdr:cxnSp macro="">
          <xdr:nvCxnSpPr>
            <xdr:cNvPr id="10" name="Divider 4">
              <a:extLst>
                <a:ext uri="{FF2B5EF4-FFF2-40B4-BE49-F238E27FC236}">
                  <a16:creationId xmlns:a16="http://schemas.microsoft.com/office/drawing/2014/main" id="{00000000-0008-0000-4800-00000A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3">
              <a:extLst>
                <a:ext uri="{FF2B5EF4-FFF2-40B4-BE49-F238E27FC236}">
                  <a16:creationId xmlns:a16="http://schemas.microsoft.com/office/drawing/2014/main" id="{00000000-0008-0000-4800-00000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2">
              <a:extLst>
                <a:ext uri="{FF2B5EF4-FFF2-40B4-BE49-F238E27FC236}">
                  <a16:creationId xmlns:a16="http://schemas.microsoft.com/office/drawing/2014/main" id="{00000000-0008-0000-4800-00000C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1">
              <a:extLst>
                <a:ext uri="{FF2B5EF4-FFF2-40B4-BE49-F238E27FC236}">
                  <a16:creationId xmlns:a16="http://schemas.microsoft.com/office/drawing/2014/main" id="{00000000-0008-0000-4800-000014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22412</xdr:colOff>
      <xdr:row>7</xdr:row>
      <xdr:rowOff>190500</xdr:rowOff>
    </xdr:from>
    <xdr:to>
      <xdr:col>35</xdr:col>
      <xdr:colOff>56029</xdr:colOff>
      <xdr:row>9</xdr:row>
      <xdr:rowOff>22412</xdr:rowOff>
    </xdr:to>
    <xdr:sp macro="" textlink="">
      <xdr:nvSpPr>
        <xdr:cNvPr id="11" name="Email">
          <a:hlinkClick xmlns:r="http://schemas.openxmlformats.org/officeDocument/2006/relationships" r:id="rId1"/>
          <a:extLst>
            <a:ext uri="{FF2B5EF4-FFF2-40B4-BE49-F238E27FC236}">
              <a16:creationId xmlns:a16="http://schemas.microsoft.com/office/drawing/2014/main" id="{00000000-0008-0000-2E00-00000B000000}"/>
            </a:ext>
          </a:extLst>
        </xdr:cNvPr>
        <xdr:cNvSpPr/>
      </xdr:nvSpPr>
      <xdr:spPr>
        <a:xfrm>
          <a:off x="8823512" y="1581150"/>
          <a:ext cx="2233892" cy="2319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49</xdr:col>
      <xdr:colOff>0</xdr:colOff>
      <xdr:row>3</xdr:row>
      <xdr:rowOff>0</xdr:rowOff>
    </xdr:to>
    <xdr:grpSp>
      <xdr:nvGrpSpPr>
        <xdr:cNvPr id="70" name="Header">
          <a:extLst>
            <a:ext uri="{FF2B5EF4-FFF2-40B4-BE49-F238E27FC236}">
              <a16:creationId xmlns:a16="http://schemas.microsoft.com/office/drawing/2014/main" id="{00000000-0008-0000-2E00-000046000000}"/>
            </a:ext>
          </a:extLst>
        </xdr:cNvPr>
        <xdr:cNvGrpSpPr/>
      </xdr:nvGrpSpPr>
      <xdr:grpSpPr>
        <a:xfrm>
          <a:off x="0" y="0"/>
          <a:ext cx="15374471" cy="605118"/>
          <a:chOff x="0" y="0"/>
          <a:chExt cx="15822705" cy="591825"/>
        </a:xfrm>
      </xdr:grpSpPr>
      <xdr:grpSp>
        <xdr:nvGrpSpPr>
          <xdr:cNvPr id="71" name="Header">
            <a:extLst>
              <a:ext uri="{FF2B5EF4-FFF2-40B4-BE49-F238E27FC236}">
                <a16:creationId xmlns:a16="http://schemas.microsoft.com/office/drawing/2014/main" id="{00000000-0008-0000-2E00-000047000000}"/>
              </a:ext>
            </a:extLst>
          </xdr:cNvPr>
          <xdr:cNvGrpSpPr/>
        </xdr:nvGrpSpPr>
        <xdr:grpSpPr>
          <a:xfrm>
            <a:off x="0" y="0"/>
            <a:ext cx="15822705" cy="591825"/>
            <a:chOff x="0" y="0"/>
            <a:chExt cx="15822705" cy="591825"/>
          </a:xfrm>
        </xdr:grpSpPr>
        <xdr:sp macro="" textlink="">
          <xdr:nvSpPr>
            <xdr:cNvPr id="77" name="Reference">
              <a:extLst>
                <a:ext uri="{FF2B5EF4-FFF2-40B4-BE49-F238E27FC236}">
                  <a16:creationId xmlns:a16="http://schemas.microsoft.com/office/drawing/2014/main" id="{00000000-0008-0000-2E00-00004D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8" name="Contact">
              <a:hlinkClick xmlns:r="http://schemas.openxmlformats.org/officeDocument/2006/relationships" r:id="rId2" tooltip="Contact"/>
              <a:extLst>
                <a:ext uri="{FF2B5EF4-FFF2-40B4-BE49-F238E27FC236}">
                  <a16:creationId xmlns:a16="http://schemas.microsoft.com/office/drawing/2014/main" id="{00000000-0008-0000-2E00-00004E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9" name="Completion">
              <a:hlinkClick xmlns:r="http://schemas.openxmlformats.org/officeDocument/2006/relationships" r:id="rId3" tooltip=" "/>
              <a:extLst>
                <a:ext uri="{FF2B5EF4-FFF2-40B4-BE49-F238E27FC236}">
                  <a16:creationId xmlns:a16="http://schemas.microsoft.com/office/drawing/2014/main" id="{00000000-0008-0000-2E00-00004F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0" name="Offer">
              <a:hlinkClick xmlns:r="http://schemas.openxmlformats.org/officeDocument/2006/relationships" r:id="rId4" tooltip=" "/>
              <a:extLst>
                <a:ext uri="{FF2B5EF4-FFF2-40B4-BE49-F238E27FC236}">
                  <a16:creationId xmlns:a16="http://schemas.microsoft.com/office/drawing/2014/main" id="{00000000-0008-0000-2E00-000050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1" name="Instructions">
              <a:hlinkClick xmlns:r="http://schemas.openxmlformats.org/officeDocument/2006/relationships" r:id="rId5" tooltip="Instructions"/>
              <a:extLst>
                <a:ext uri="{FF2B5EF4-FFF2-40B4-BE49-F238E27FC236}">
                  <a16:creationId xmlns:a16="http://schemas.microsoft.com/office/drawing/2014/main" id="{00000000-0008-0000-2E00-000051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2" name="Welcome">
              <a:hlinkClick xmlns:r="http://schemas.openxmlformats.org/officeDocument/2006/relationships" r:id="rId6" tooltip="Welcome"/>
              <a:extLst>
                <a:ext uri="{FF2B5EF4-FFF2-40B4-BE49-F238E27FC236}">
                  <a16:creationId xmlns:a16="http://schemas.microsoft.com/office/drawing/2014/main" id="{00000000-0008-0000-2E00-000052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3" name="Evergy Logo">
              <a:extLst>
                <a:ext uri="{FF2B5EF4-FFF2-40B4-BE49-F238E27FC236}">
                  <a16:creationId xmlns:a16="http://schemas.microsoft.com/office/drawing/2014/main" id="{00000000-0008-0000-2E00-00005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72" name="Dividers">
            <a:extLst>
              <a:ext uri="{FF2B5EF4-FFF2-40B4-BE49-F238E27FC236}">
                <a16:creationId xmlns:a16="http://schemas.microsoft.com/office/drawing/2014/main" id="{00000000-0008-0000-2E00-000048000000}"/>
              </a:ext>
            </a:extLst>
          </xdr:cNvPr>
          <xdr:cNvGrpSpPr/>
        </xdr:nvGrpSpPr>
        <xdr:grpSpPr>
          <a:xfrm>
            <a:off x="1615312" y="85571"/>
            <a:ext cx="12926000" cy="423176"/>
            <a:chOff x="1615312" y="85571"/>
            <a:chExt cx="12926000" cy="423176"/>
          </a:xfrm>
        </xdr:grpSpPr>
        <xdr:cxnSp macro="">
          <xdr:nvCxnSpPr>
            <xdr:cNvPr id="73" name="Divider 4">
              <a:extLst>
                <a:ext uri="{FF2B5EF4-FFF2-40B4-BE49-F238E27FC236}">
                  <a16:creationId xmlns:a16="http://schemas.microsoft.com/office/drawing/2014/main" id="{00000000-0008-0000-2E00-000049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4" name="Divider 3">
              <a:extLst>
                <a:ext uri="{FF2B5EF4-FFF2-40B4-BE49-F238E27FC236}">
                  <a16:creationId xmlns:a16="http://schemas.microsoft.com/office/drawing/2014/main" id="{00000000-0008-0000-2E00-00004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5" name="Divider 2">
              <a:extLst>
                <a:ext uri="{FF2B5EF4-FFF2-40B4-BE49-F238E27FC236}">
                  <a16:creationId xmlns:a16="http://schemas.microsoft.com/office/drawing/2014/main" id="{00000000-0008-0000-2E00-00004B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6" name="Divider 1">
              <a:extLst>
                <a:ext uri="{FF2B5EF4-FFF2-40B4-BE49-F238E27FC236}">
                  <a16:creationId xmlns:a16="http://schemas.microsoft.com/office/drawing/2014/main" id="{00000000-0008-0000-2E00-00004C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0</xdr:colOff>
      <xdr:row>3</xdr:row>
      <xdr:rowOff>815</xdr:rowOff>
    </xdr:from>
    <xdr:to>
      <xdr:col>41</xdr:col>
      <xdr:colOff>223215</xdr:colOff>
      <xdr:row>8</xdr:row>
      <xdr:rowOff>0</xdr:rowOff>
    </xdr:to>
    <xdr:grpSp>
      <xdr:nvGrpSpPr>
        <xdr:cNvPr id="9" name="Navigation">
          <a:extLst>
            <a:ext uri="{FF2B5EF4-FFF2-40B4-BE49-F238E27FC236}">
              <a16:creationId xmlns:a16="http://schemas.microsoft.com/office/drawing/2014/main" id="{00000000-0008-0000-4900-000009000000}"/>
            </a:ext>
          </a:extLst>
        </xdr:cNvPr>
        <xdr:cNvGrpSpPr/>
      </xdr:nvGrpSpPr>
      <xdr:grpSpPr>
        <a:xfrm>
          <a:off x="1882588" y="605933"/>
          <a:ext cx="11204980" cy="1007714"/>
          <a:chOff x="1576553" y="592282"/>
          <a:chExt cx="11373937" cy="986117"/>
        </a:xfrm>
      </xdr:grpSpPr>
      <xdr:cxnSp macro="">
        <xdr:nvCxnSpPr>
          <xdr:cNvPr id="10" name="Reference">
            <a:extLst>
              <a:ext uri="{FF2B5EF4-FFF2-40B4-BE49-F238E27FC236}">
                <a16:creationId xmlns:a16="http://schemas.microsoft.com/office/drawing/2014/main" id="{00000000-0008-0000-4900-00000A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1" name="7: Project Review">
            <a:hlinkClick xmlns:r="http://schemas.openxmlformats.org/officeDocument/2006/relationships" r:id="rId1" tooltip="Project Review"/>
            <a:extLst>
              <a:ext uri="{FF2B5EF4-FFF2-40B4-BE49-F238E27FC236}">
                <a16:creationId xmlns:a16="http://schemas.microsoft.com/office/drawing/2014/main" id="{00000000-0008-0000-4900-00000B000000}"/>
              </a:ext>
            </a:extLst>
          </xdr:cNvPr>
          <xdr:cNvSpPr/>
        </xdr:nvSpPr>
        <xdr:spPr>
          <a:xfrm>
            <a:off x="11134483"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2" name="6: Payment">
            <a:hlinkClick xmlns:r="http://schemas.openxmlformats.org/officeDocument/2006/relationships" r:id="rId2" tooltip="Payment"/>
            <a:extLst>
              <a:ext uri="{FF2B5EF4-FFF2-40B4-BE49-F238E27FC236}">
                <a16:creationId xmlns:a16="http://schemas.microsoft.com/office/drawing/2014/main" id="{00000000-0008-0000-4900-00000C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3" name="5: Equipment Input">
            <a:hlinkClick xmlns:r="http://schemas.openxmlformats.org/officeDocument/2006/relationships" r:id="rId3" tooltip="Equipment Input"/>
            <a:extLst>
              <a:ext uri="{FF2B5EF4-FFF2-40B4-BE49-F238E27FC236}">
                <a16:creationId xmlns:a16="http://schemas.microsoft.com/office/drawing/2014/main" id="{00000000-0008-0000-4900-00000D000000}"/>
              </a:ext>
            </a:extLst>
          </xdr:cNvPr>
          <xdr:cNvSpPr/>
        </xdr:nvSpPr>
        <xdr:spPr>
          <a:xfrm>
            <a:off x="7948506"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4" name="4: DTM">
            <a:hlinkClick xmlns:r="http://schemas.openxmlformats.org/officeDocument/2006/relationships" r:id="rId4" tooltip="Building Information"/>
            <a:extLst>
              <a:ext uri="{FF2B5EF4-FFF2-40B4-BE49-F238E27FC236}">
                <a16:creationId xmlns:a16="http://schemas.microsoft.com/office/drawing/2014/main" id="{00000000-0008-0000-4900-00000E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5" name="3: Customer/Bldg Info">
            <a:hlinkClick xmlns:r="http://schemas.openxmlformats.org/officeDocument/2006/relationships" r:id="rId5" tooltip="Customer Information"/>
            <a:extLst>
              <a:ext uri="{FF2B5EF4-FFF2-40B4-BE49-F238E27FC236}">
                <a16:creationId xmlns:a16="http://schemas.microsoft.com/office/drawing/2014/main" id="{00000000-0008-0000-4900-00000F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6" name="2: Design Team">
            <a:hlinkClick xmlns:r="http://schemas.openxmlformats.org/officeDocument/2006/relationships" r:id="rId6" tooltip="Trade Ally/Vendor Information"/>
            <a:extLst>
              <a:ext uri="{FF2B5EF4-FFF2-40B4-BE49-F238E27FC236}">
                <a16:creationId xmlns:a16="http://schemas.microsoft.com/office/drawing/2014/main" id="{00000000-0008-0000-4900-000010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7" name="1: T&amp;C's">
            <a:hlinkClick xmlns:r="http://schemas.openxmlformats.org/officeDocument/2006/relationships" r:id="rId7" tooltip="Terms &amp; Conditions"/>
            <a:extLst>
              <a:ext uri="{FF2B5EF4-FFF2-40B4-BE49-F238E27FC236}">
                <a16:creationId xmlns:a16="http://schemas.microsoft.com/office/drawing/2014/main" id="{00000000-0008-0000-4900-000011000000}"/>
              </a:ext>
            </a:extLst>
          </xdr:cNvPr>
          <xdr:cNvSpPr/>
        </xdr:nvSpPr>
        <xdr:spPr>
          <a:xfrm>
            <a:off x="1576553" y="667566"/>
            <a:ext cx="1816007" cy="830389"/>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4900-000002000000}"/>
            </a:ext>
          </a:extLst>
        </xdr:cNvPr>
        <xdr:cNvGrpSpPr/>
      </xdr:nvGrpSpPr>
      <xdr:grpSpPr>
        <a:xfrm>
          <a:off x="0" y="0"/>
          <a:ext cx="15374471" cy="605118"/>
          <a:chOff x="0" y="0"/>
          <a:chExt cx="15822705" cy="591825"/>
        </a:xfrm>
      </xdr:grpSpPr>
      <xdr:grpSp>
        <xdr:nvGrpSpPr>
          <xdr:cNvPr id="3" name="Header">
            <a:extLst>
              <a:ext uri="{FF2B5EF4-FFF2-40B4-BE49-F238E27FC236}">
                <a16:creationId xmlns:a16="http://schemas.microsoft.com/office/drawing/2014/main" id="{00000000-0008-0000-4900-000003000000}"/>
              </a:ext>
            </a:extLst>
          </xdr:cNvPr>
          <xdr:cNvGrpSpPr/>
        </xdr:nvGrpSpPr>
        <xdr:grpSpPr>
          <a:xfrm>
            <a:off x="0" y="0"/>
            <a:ext cx="15822705" cy="591825"/>
            <a:chOff x="0" y="0"/>
            <a:chExt cx="15822705" cy="591825"/>
          </a:xfrm>
        </xdr:grpSpPr>
        <xdr:sp macro="" textlink="">
          <xdr:nvSpPr>
            <xdr:cNvPr id="18" name="Reference">
              <a:extLst>
                <a:ext uri="{FF2B5EF4-FFF2-40B4-BE49-F238E27FC236}">
                  <a16:creationId xmlns:a16="http://schemas.microsoft.com/office/drawing/2014/main" id="{00000000-0008-0000-4900-000012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Contact">
              <a:hlinkClick xmlns:r="http://schemas.openxmlformats.org/officeDocument/2006/relationships" r:id="rId8" tooltip="Contact"/>
              <a:extLst>
                <a:ext uri="{FF2B5EF4-FFF2-40B4-BE49-F238E27FC236}">
                  <a16:creationId xmlns:a16="http://schemas.microsoft.com/office/drawing/2014/main" id="{00000000-0008-0000-4900-000013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Completion">
              <a:hlinkClick xmlns:r="http://schemas.openxmlformats.org/officeDocument/2006/relationships" r:id="rId9" tooltip=" "/>
              <a:extLst>
                <a:ext uri="{FF2B5EF4-FFF2-40B4-BE49-F238E27FC236}">
                  <a16:creationId xmlns:a16="http://schemas.microsoft.com/office/drawing/2014/main" id="{00000000-0008-0000-4900-000014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Offer">
              <a:hlinkClick xmlns:r="http://schemas.openxmlformats.org/officeDocument/2006/relationships" r:id="rId10" tooltip=" "/>
              <a:extLst>
                <a:ext uri="{FF2B5EF4-FFF2-40B4-BE49-F238E27FC236}">
                  <a16:creationId xmlns:a16="http://schemas.microsoft.com/office/drawing/2014/main" id="{00000000-0008-0000-4900-000015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Instructions">
              <a:hlinkClick xmlns:r="http://schemas.openxmlformats.org/officeDocument/2006/relationships" r:id="rId11" tooltip="Instructions"/>
              <a:extLst>
                <a:ext uri="{FF2B5EF4-FFF2-40B4-BE49-F238E27FC236}">
                  <a16:creationId xmlns:a16="http://schemas.microsoft.com/office/drawing/2014/main" id="{00000000-0008-0000-4900-000016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Welcome">
              <a:hlinkClick xmlns:r="http://schemas.openxmlformats.org/officeDocument/2006/relationships" r:id="rId12" tooltip="Welcome"/>
              <a:extLst>
                <a:ext uri="{FF2B5EF4-FFF2-40B4-BE49-F238E27FC236}">
                  <a16:creationId xmlns:a16="http://schemas.microsoft.com/office/drawing/2014/main" id="{00000000-0008-0000-4900-000017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4" name="Evergy Logo">
              <a:extLst>
                <a:ext uri="{FF2B5EF4-FFF2-40B4-BE49-F238E27FC236}">
                  <a16:creationId xmlns:a16="http://schemas.microsoft.com/office/drawing/2014/main" id="{00000000-0008-0000-4900-000018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4" name="Dividers">
            <a:extLst>
              <a:ext uri="{FF2B5EF4-FFF2-40B4-BE49-F238E27FC236}">
                <a16:creationId xmlns:a16="http://schemas.microsoft.com/office/drawing/2014/main" id="{00000000-0008-0000-4900-000004000000}"/>
              </a:ext>
            </a:extLst>
          </xdr:cNvPr>
          <xdr:cNvGrpSpPr/>
        </xdr:nvGrpSpPr>
        <xdr:grpSpPr>
          <a:xfrm>
            <a:off x="1615312" y="85571"/>
            <a:ext cx="12926000" cy="423176"/>
            <a:chOff x="1615312" y="85571"/>
            <a:chExt cx="12926000" cy="423176"/>
          </a:xfrm>
        </xdr:grpSpPr>
        <xdr:cxnSp macro="">
          <xdr:nvCxnSpPr>
            <xdr:cNvPr id="5" name="Divider 4">
              <a:extLst>
                <a:ext uri="{FF2B5EF4-FFF2-40B4-BE49-F238E27FC236}">
                  <a16:creationId xmlns:a16="http://schemas.microsoft.com/office/drawing/2014/main" id="{00000000-0008-0000-4900-000005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49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4900-000007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4900-000008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302558</xdr:colOff>
      <xdr:row>13</xdr:row>
      <xdr:rowOff>145677</xdr:rowOff>
    </xdr:from>
    <xdr:to>
      <xdr:col>13</xdr:col>
      <xdr:colOff>257736</xdr:colOff>
      <xdr:row>14</xdr:row>
      <xdr:rowOff>179294</xdr:rowOff>
    </xdr:to>
    <xdr:sp macro="" textlink="">
      <xdr:nvSpPr>
        <xdr:cNvPr id="11" name="Terms">
          <a:hlinkClick xmlns:r="http://schemas.openxmlformats.org/officeDocument/2006/relationships" r:id="rId1" tooltip="Download Terms and Conditions"/>
          <a:extLst>
            <a:ext uri="{FF2B5EF4-FFF2-40B4-BE49-F238E27FC236}">
              <a16:creationId xmlns:a16="http://schemas.microsoft.com/office/drawing/2014/main" id="{00000000-0008-0000-2F00-00000B000000}"/>
            </a:ext>
          </a:extLst>
        </xdr:cNvPr>
        <xdr:cNvSpPr/>
      </xdr:nvSpPr>
      <xdr:spPr>
        <a:xfrm>
          <a:off x="1559858" y="2746002"/>
          <a:ext cx="2784103" cy="2336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42</xdr:col>
      <xdr:colOff>123264</xdr:colOff>
      <xdr:row>8</xdr:row>
      <xdr:rowOff>100854</xdr:rowOff>
    </xdr:from>
    <xdr:to>
      <xdr:col>44</xdr:col>
      <xdr:colOff>26087</xdr:colOff>
      <xdr:row>10</xdr:row>
      <xdr:rowOff>108922</xdr:rowOff>
    </xdr:to>
    <xdr:sp macro="" textlink="">
      <xdr:nvSpPr>
        <xdr:cNvPr id="9" name="Arrow: Right N2S2">
          <a:hlinkClick xmlns:r="http://schemas.openxmlformats.org/officeDocument/2006/relationships" r:id="rId2" tooltip="Forward: Design Team Information"/>
          <a:extLst>
            <a:ext uri="{FF2B5EF4-FFF2-40B4-BE49-F238E27FC236}">
              <a16:creationId xmlns:a16="http://schemas.microsoft.com/office/drawing/2014/main" id="{00000000-0008-0000-2F00-000009000000}"/>
            </a:ext>
          </a:extLst>
        </xdr:cNvPr>
        <xdr:cNvSpPr/>
      </xdr:nvSpPr>
      <xdr:spPr>
        <a:xfrm>
          <a:off x="13324914"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302557</xdr:colOff>
      <xdr:row>8</xdr:row>
      <xdr:rowOff>115796</xdr:rowOff>
    </xdr:from>
    <xdr:to>
      <xdr:col>3</xdr:col>
      <xdr:colOff>201704</xdr:colOff>
      <xdr:row>10</xdr:row>
      <xdr:rowOff>123864</xdr:rowOff>
    </xdr:to>
    <xdr:sp macro="" textlink="">
      <xdr:nvSpPr>
        <xdr:cNvPr id="20" name="Arrow: Left N1S3">
          <a:hlinkClick xmlns:r="http://schemas.openxmlformats.org/officeDocument/2006/relationships" r:id="rId3" tooltip="Back: Instructions"/>
          <a:extLst>
            <a:ext uri="{FF2B5EF4-FFF2-40B4-BE49-F238E27FC236}">
              <a16:creationId xmlns:a16="http://schemas.microsoft.com/office/drawing/2014/main" id="{00000000-0008-0000-2F00-000014000000}"/>
            </a:ext>
          </a:extLst>
        </xdr:cNvPr>
        <xdr:cNvSpPr/>
      </xdr:nvSpPr>
      <xdr:spPr>
        <a:xfrm>
          <a:off x="616882" y="1715996"/>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0</xdr:colOff>
      <xdr:row>3</xdr:row>
      <xdr:rowOff>0</xdr:rowOff>
    </xdr:from>
    <xdr:to>
      <xdr:col>41</xdr:col>
      <xdr:colOff>223215</xdr:colOff>
      <xdr:row>7</xdr:row>
      <xdr:rowOff>196408</xdr:rowOff>
    </xdr:to>
    <xdr:grpSp>
      <xdr:nvGrpSpPr>
        <xdr:cNvPr id="13" name="Navigation">
          <a:extLst>
            <a:ext uri="{FF2B5EF4-FFF2-40B4-BE49-F238E27FC236}">
              <a16:creationId xmlns:a16="http://schemas.microsoft.com/office/drawing/2014/main" id="{00000000-0008-0000-2F00-00000D000000}"/>
            </a:ext>
          </a:extLst>
        </xdr:cNvPr>
        <xdr:cNvGrpSpPr/>
      </xdr:nvGrpSpPr>
      <xdr:grpSpPr>
        <a:xfrm>
          <a:off x="1882588" y="605118"/>
          <a:ext cx="11204980" cy="1003231"/>
          <a:chOff x="1576553" y="592282"/>
          <a:chExt cx="11373937" cy="986117"/>
        </a:xfrm>
      </xdr:grpSpPr>
      <xdr:cxnSp macro="">
        <xdr:nvCxnSpPr>
          <xdr:cNvPr id="12" name="Reference">
            <a:extLst>
              <a:ext uri="{FF2B5EF4-FFF2-40B4-BE49-F238E27FC236}">
                <a16:creationId xmlns:a16="http://schemas.microsoft.com/office/drawing/2014/main" id="{00000000-0008-0000-2F00-00000C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8" name="7: Project Review">
            <a:hlinkClick xmlns:r="http://schemas.openxmlformats.org/officeDocument/2006/relationships" r:id="rId4" tooltip="Project Review"/>
            <a:extLst>
              <a:ext uri="{FF2B5EF4-FFF2-40B4-BE49-F238E27FC236}">
                <a16:creationId xmlns:a16="http://schemas.microsoft.com/office/drawing/2014/main" id="{00000000-0008-0000-2F00-000008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7" name="6: Payment">
            <a:hlinkClick xmlns:r="http://schemas.openxmlformats.org/officeDocument/2006/relationships" r:id="rId5" tooltip="Payment"/>
            <a:extLst>
              <a:ext uri="{FF2B5EF4-FFF2-40B4-BE49-F238E27FC236}">
                <a16:creationId xmlns:a16="http://schemas.microsoft.com/office/drawing/2014/main" id="{00000000-0008-0000-2F00-000007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6" name="5: Equipment Input">
            <a:hlinkClick xmlns:r="http://schemas.openxmlformats.org/officeDocument/2006/relationships" r:id="rId6" tooltip="Equipment Input"/>
            <a:extLst>
              <a:ext uri="{FF2B5EF4-FFF2-40B4-BE49-F238E27FC236}">
                <a16:creationId xmlns:a16="http://schemas.microsoft.com/office/drawing/2014/main" id="{00000000-0008-0000-2F00-000006000000}"/>
              </a:ext>
            </a:extLst>
          </xdr:cNvPr>
          <xdr:cNvSpPr/>
        </xdr:nvSpPr>
        <xdr:spPr>
          <a:xfrm>
            <a:off x="7948506"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5" name="4: DTM">
            <a:hlinkClick xmlns:r="http://schemas.openxmlformats.org/officeDocument/2006/relationships" r:id="rId7" tooltip="Building Information"/>
            <a:extLst>
              <a:ext uri="{FF2B5EF4-FFF2-40B4-BE49-F238E27FC236}">
                <a16:creationId xmlns:a16="http://schemas.microsoft.com/office/drawing/2014/main" id="{00000000-0008-0000-2F00-000005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4" name="3: Customer/Bldg Info">
            <a:hlinkClick xmlns:r="http://schemas.openxmlformats.org/officeDocument/2006/relationships" r:id="rId8" tooltip="Customer Information"/>
            <a:extLst>
              <a:ext uri="{FF2B5EF4-FFF2-40B4-BE49-F238E27FC236}">
                <a16:creationId xmlns:a16="http://schemas.microsoft.com/office/drawing/2014/main" id="{00000000-0008-0000-2F00-000004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3" name="2: Design Team">
            <a:hlinkClick xmlns:r="http://schemas.openxmlformats.org/officeDocument/2006/relationships" r:id="rId2" tooltip="Trade Ally/Vendor Information"/>
            <a:extLst>
              <a:ext uri="{FF2B5EF4-FFF2-40B4-BE49-F238E27FC236}">
                <a16:creationId xmlns:a16="http://schemas.microsoft.com/office/drawing/2014/main" id="{00000000-0008-0000-2F00-000003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2" name="1: T&amp;C's">
            <a:hlinkClick xmlns:r="http://schemas.openxmlformats.org/officeDocument/2006/relationships" r:id="rId9" tooltip="Terms &amp; Conditions"/>
            <a:extLst>
              <a:ext uri="{FF2B5EF4-FFF2-40B4-BE49-F238E27FC236}">
                <a16:creationId xmlns:a16="http://schemas.microsoft.com/office/drawing/2014/main" id="{00000000-0008-0000-2F00-000002000000}"/>
              </a:ext>
            </a:extLst>
          </xdr:cNvPr>
          <xdr:cNvSpPr/>
        </xdr:nvSpPr>
        <xdr:spPr>
          <a:xfrm>
            <a:off x="1576553"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8" name="Header">
          <a:extLst>
            <a:ext uri="{FF2B5EF4-FFF2-40B4-BE49-F238E27FC236}">
              <a16:creationId xmlns:a16="http://schemas.microsoft.com/office/drawing/2014/main" id="{00000000-0008-0000-2F00-00001C000000}"/>
            </a:ext>
          </a:extLst>
        </xdr:cNvPr>
        <xdr:cNvGrpSpPr/>
      </xdr:nvGrpSpPr>
      <xdr:grpSpPr>
        <a:xfrm>
          <a:off x="0" y="0"/>
          <a:ext cx="15374471" cy="605118"/>
          <a:chOff x="0" y="0"/>
          <a:chExt cx="15822705" cy="591825"/>
        </a:xfrm>
      </xdr:grpSpPr>
      <xdr:grpSp>
        <xdr:nvGrpSpPr>
          <xdr:cNvPr id="29" name="Header">
            <a:extLst>
              <a:ext uri="{FF2B5EF4-FFF2-40B4-BE49-F238E27FC236}">
                <a16:creationId xmlns:a16="http://schemas.microsoft.com/office/drawing/2014/main" id="{00000000-0008-0000-2F00-00001D000000}"/>
              </a:ext>
            </a:extLst>
          </xdr:cNvPr>
          <xdr:cNvGrpSpPr/>
        </xdr:nvGrpSpPr>
        <xdr:grpSpPr>
          <a:xfrm>
            <a:off x="0" y="0"/>
            <a:ext cx="15822705" cy="591825"/>
            <a:chOff x="0" y="0"/>
            <a:chExt cx="15822705" cy="591825"/>
          </a:xfrm>
        </xdr:grpSpPr>
        <xdr:sp macro="" textlink="">
          <xdr:nvSpPr>
            <xdr:cNvPr id="35" name="Reference">
              <a:extLst>
                <a:ext uri="{FF2B5EF4-FFF2-40B4-BE49-F238E27FC236}">
                  <a16:creationId xmlns:a16="http://schemas.microsoft.com/office/drawing/2014/main" id="{00000000-0008-0000-2F00-000023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ntact">
              <a:hlinkClick xmlns:r="http://schemas.openxmlformats.org/officeDocument/2006/relationships" r:id="rId10" tooltip="Contact"/>
              <a:extLst>
                <a:ext uri="{FF2B5EF4-FFF2-40B4-BE49-F238E27FC236}">
                  <a16:creationId xmlns:a16="http://schemas.microsoft.com/office/drawing/2014/main" id="{00000000-0008-0000-2F00-000024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mpletion">
              <a:hlinkClick xmlns:r="http://schemas.openxmlformats.org/officeDocument/2006/relationships" r:id="rId11" tooltip=" "/>
              <a:extLst>
                <a:ext uri="{FF2B5EF4-FFF2-40B4-BE49-F238E27FC236}">
                  <a16:creationId xmlns:a16="http://schemas.microsoft.com/office/drawing/2014/main" id="{00000000-0008-0000-2F00-000025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Offer">
              <a:hlinkClick xmlns:r="http://schemas.openxmlformats.org/officeDocument/2006/relationships" r:id="rId12" tooltip=" "/>
              <a:extLst>
                <a:ext uri="{FF2B5EF4-FFF2-40B4-BE49-F238E27FC236}">
                  <a16:creationId xmlns:a16="http://schemas.microsoft.com/office/drawing/2014/main" id="{00000000-0008-0000-2F00-000026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Instructions">
              <a:hlinkClick xmlns:r="http://schemas.openxmlformats.org/officeDocument/2006/relationships" r:id="rId13" tooltip="Instructions"/>
              <a:extLst>
                <a:ext uri="{FF2B5EF4-FFF2-40B4-BE49-F238E27FC236}">
                  <a16:creationId xmlns:a16="http://schemas.microsoft.com/office/drawing/2014/main" id="{00000000-0008-0000-2F00-000027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4" tooltip="Welcome"/>
              <a:extLst>
                <a:ext uri="{FF2B5EF4-FFF2-40B4-BE49-F238E27FC236}">
                  <a16:creationId xmlns:a16="http://schemas.microsoft.com/office/drawing/2014/main" id="{00000000-0008-0000-2F00-000028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2F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30" name="Dividers">
            <a:extLst>
              <a:ext uri="{FF2B5EF4-FFF2-40B4-BE49-F238E27FC236}">
                <a16:creationId xmlns:a16="http://schemas.microsoft.com/office/drawing/2014/main" id="{00000000-0008-0000-2F00-00001E000000}"/>
              </a:ext>
            </a:extLst>
          </xdr:cNvPr>
          <xdr:cNvGrpSpPr/>
        </xdr:nvGrpSpPr>
        <xdr:grpSpPr>
          <a:xfrm>
            <a:off x="1615312" y="85571"/>
            <a:ext cx="12926000" cy="423176"/>
            <a:chOff x="1615312" y="85571"/>
            <a:chExt cx="12926000" cy="423176"/>
          </a:xfrm>
        </xdr:grpSpPr>
        <xdr:cxnSp macro="">
          <xdr:nvCxnSpPr>
            <xdr:cNvPr id="31" name="Divider 4">
              <a:extLst>
                <a:ext uri="{FF2B5EF4-FFF2-40B4-BE49-F238E27FC236}">
                  <a16:creationId xmlns:a16="http://schemas.microsoft.com/office/drawing/2014/main" id="{00000000-0008-0000-2F00-00001F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2F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2F00-000021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2F00-000022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42</xdr:col>
      <xdr:colOff>123264</xdr:colOff>
      <xdr:row>8</xdr:row>
      <xdr:rowOff>100854</xdr:rowOff>
    </xdr:from>
    <xdr:to>
      <xdr:col>44</xdr:col>
      <xdr:colOff>26087</xdr:colOff>
      <xdr:row>10</xdr:row>
      <xdr:rowOff>108922</xdr:rowOff>
    </xdr:to>
    <xdr:sp macro="" textlink="">
      <xdr:nvSpPr>
        <xdr:cNvPr id="2" name="Arrow: Right N2S3">
          <a:hlinkClick xmlns:r="http://schemas.openxmlformats.org/officeDocument/2006/relationships" r:id="rId1" tooltip="Forward: Customer &amp; Building Information"/>
          <a:extLst>
            <a:ext uri="{FF2B5EF4-FFF2-40B4-BE49-F238E27FC236}">
              <a16:creationId xmlns:a16="http://schemas.microsoft.com/office/drawing/2014/main" id="{00000000-0008-0000-3000-000002000000}"/>
            </a:ext>
          </a:extLst>
        </xdr:cNvPr>
        <xdr:cNvSpPr/>
      </xdr:nvSpPr>
      <xdr:spPr>
        <a:xfrm>
          <a:off x="13324914"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3" name="Arrow: Left N2S1">
          <a:hlinkClick xmlns:r="http://schemas.openxmlformats.org/officeDocument/2006/relationships" r:id="rId2" tooltip="Back: Terms &amp; Conditions"/>
          <a:extLst>
            <a:ext uri="{FF2B5EF4-FFF2-40B4-BE49-F238E27FC236}">
              <a16:creationId xmlns:a16="http://schemas.microsoft.com/office/drawing/2014/main" id="{00000000-0008-0000-3000-000003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313764</xdr:colOff>
      <xdr:row>3</xdr:row>
      <xdr:rowOff>0</xdr:rowOff>
    </xdr:from>
    <xdr:to>
      <xdr:col>41</xdr:col>
      <xdr:colOff>214250</xdr:colOff>
      <xdr:row>7</xdr:row>
      <xdr:rowOff>196408</xdr:rowOff>
    </xdr:to>
    <xdr:grpSp>
      <xdr:nvGrpSpPr>
        <xdr:cNvPr id="19" name="Navigation">
          <a:extLst>
            <a:ext uri="{FF2B5EF4-FFF2-40B4-BE49-F238E27FC236}">
              <a16:creationId xmlns:a16="http://schemas.microsoft.com/office/drawing/2014/main" id="{00000000-0008-0000-3000-000013000000}"/>
            </a:ext>
          </a:extLst>
        </xdr:cNvPr>
        <xdr:cNvGrpSpPr/>
      </xdr:nvGrpSpPr>
      <xdr:grpSpPr>
        <a:xfrm>
          <a:off x="1882588" y="605118"/>
          <a:ext cx="11196015" cy="1003231"/>
          <a:chOff x="1576553" y="592282"/>
          <a:chExt cx="11373937" cy="986117"/>
        </a:xfrm>
      </xdr:grpSpPr>
      <xdr:cxnSp macro="">
        <xdr:nvCxnSpPr>
          <xdr:cNvPr id="20" name="Reference">
            <a:extLst>
              <a:ext uri="{FF2B5EF4-FFF2-40B4-BE49-F238E27FC236}">
                <a16:creationId xmlns:a16="http://schemas.microsoft.com/office/drawing/2014/main" id="{00000000-0008-0000-3000-000014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21" name="7: Project Review">
            <a:hlinkClick xmlns:r="http://schemas.openxmlformats.org/officeDocument/2006/relationships" r:id="rId3" tooltip="Project Review"/>
            <a:extLst>
              <a:ext uri="{FF2B5EF4-FFF2-40B4-BE49-F238E27FC236}">
                <a16:creationId xmlns:a16="http://schemas.microsoft.com/office/drawing/2014/main" id="{00000000-0008-0000-3000-000015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22" name="6: Payment">
            <a:hlinkClick xmlns:r="http://schemas.openxmlformats.org/officeDocument/2006/relationships" r:id="rId4" tooltip="Payment"/>
            <a:extLst>
              <a:ext uri="{FF2B5EF4-FFF2-40B4-BE49-F238E27FC236}">
                <a16:creationId xmlns:a16="http://schemas.microsoft.com/office/drawing/2014/main" id="{00000000-0008-0000-3000-000016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23" name="5: Equipment Input">
            <a:hlinkClick xmlns:r="http://schemas.openxmlformats.org/officeDocument/2006/relationships" r:id="rId5" tooltip="Equipment Input"/>
            <a:extLst>
              <a:ext uri="{FF2B5EF4-FFF2-40B4-BE49-F238E27FC236}">
                <a16:creationId xmlns:a16="http://schemas.microsoft.com/office/drawing/2014/main" id="{00000000-0008-0000-3000-000017000000}"/>
              </a:ext>
            </a:extLst>
          </xdr:cNvPr>
          <xdr:cNvSpPr/>
        </xdr:nvSpPr>
        <xdr:spPr>
          <a:xfrm>
            <a:off x="7948506"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24" name="4: DTM">
            <a:hlinkClick xmlns:r="http://schemas.openxmlformats.org/officeDocument/2006/relationships" r:id="rId6" tooltip="Building Information"/>
            <a:extLst>
              <a:ext uri="{FF2B5EF4-FFF2-40B4-BE49-F238E27FC236}">
                <a16:creationId xmlns:a16="http://schemas.microsoft.com/office/drawing/2014/main" id="{00000000-0008-0000-3000-000018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25" name="3: Customer/Bldg Info">
            <a:hlinkClick xmlns:r="http://schemas.openxmlformats.org/officeDocument/2006/relationships" r:id="rId1" tooltip="Customer Information"/>
            <a:extLst>
              <a:ext uri="{FF2B5EF4-FFF2-40B4-BE49-F238E27FC236}">
                <a16:creationId xmlns:a16="http://schemas.microsoft.com/office/drawing/2014/main" id="{00000000-0008-0000-3000-000019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26" name="2: Design Team">
            <a:hlinkClick xmlns:r="http://schemas.openxmlformats.org/officeDocument/2006/relationships" r:id="rId7" tooltip="Trade Ally/Vendor Information"/>
            <a:extLst>
              <a:ext uri="{FF2B5EF4-FFF2-40B4-BE49-F238E27FC236}">
                <a16:creationId xmlns:a16="http://schemas.microsoft.com/office/drawing/2014/main" id="{00000000-0008-0000-3000-00001A000000}"/>
              </a:ext>
            </a:extLst>
          </xdr:cNvPr>
          <xdr:cNvSpPr/>
        </xdr:nvSpPr>
        <xdr:spPr>
          <a:xfrm>
            <a:off x="3169541"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27" name="1: T&amp;C's">
            <a:hlinkClick xmlns:r="http://schemas.openxmlformats.org/officeDocument/2006/relationships" r:id="rId2" tooltip="Terms &amp; Conditions"/>
            <a:extLst>
              <a:ext uri="{FF2B5EF4-FFF2-40B4-BE49-F238E27FC236}">
                <a16:creationId xmlns:a16="http://schemas.microsoft.com/office/drawing/2014/main" id="{00000000-0008-0000-3000-00001B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18" name="Header">
          <a:extLst>
            <a:ext uri="{FF2B5EF4-FFF2-40B4-BE49-F238E27FC236}">
              <a16:creationId xmlns:a16="http://schemas.microsoft.com/office/drawing/2014/main" id="{00000000-0008-0000-3000-000012000000}"/>
            </a:ext>
          </a:extLst>
        </xdr:cNvPr>
        <xdr:cNvGrpSpPr/>
      </xdr:nvGrpSpPr>
      <xdr:grpSpPr>
        <a:xfrm>
          <a:off x="0" y="0"/>
          <a:ext cx="15374471" cy="605118"/>
          <a:chOff x="0" y="0"/>
          <a:chExt cx="15822705" cy="591825"/>
        </a:xfrm>
      </xdr:grpSpPr>
      <xdr:grpSp>
        <xdr:nvGrpSpPr>
          <xdr:cNvPr id="28" name="Header">
            <a:extLst>
              <a:ext uri="{FF2B5EF4-FFF2-40B4-BE49-F238E27FC236}">
                <a16:creationId xmlns:a16="http://schemas.microsoft.com/office/drawing/2014/main" id="{00000000-0008-0000-3000-00001C000000}"/>
              </a:ext>
            </a:extLst>
          </xdr:cNvPr>
          <xdr:cNvGrpSpPr/>
        </xdr:nvGrpSpPr>
        <xdr:grpSpPr>
          <a:xfrm>
            <a:off x="0" y="0"/>
            <a:ext cx="15822705" cy="591825"/>
            <a:chOff x="0" y="0"/>
            <a:chExt cx="15822705" cy="591825"/>
          </a:xfrm>
        </xdr:grpSpPr>
        <xdr:sp macro="" textlink="">
          <xdr:nvSpPr>
            <xdr:cNvPr id="34" name="Reference">
              <a:extLst>
                <a:ext uri="{FF2B5EF4-FFF2-40B4-BE49-F238E27FC236}">
                  <a16:creationId xmlns:a16="http://schemas.microsoft.com/office/drawing/2014/main" id="{00000000-0008-0000-3000-000022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3000-000023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mpletion">
              <a:hlinkClick xmlns:r="http://schemas.openxmlformats.org/officeDocument/2006/relationships" r:id="rId9" tooltip=" "/>
              <a:extLst>
                <a:ext uri="{FF2B5EF4-FFF2-40B4-BE49-F238E27FC236}">
                  <a16:creationId xmlns:a16="http://schemas.microsoft.com/office/drawing/2014/main" id="{00000000-0008-0000-3000-000032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Offer">
              <a:hlinkClick xmlns:r="http://schemas.openxmlformats.org/officeDocument/2006/relationships" r:id="rId10" tooltip=" "/>
              <a:extLst>
                <a:ext uri="{FF2B5EF4-FFF2-40B4-BE49-F238E27FC236}">
                  <a16:creationId xmlns:a16="http://schemas.microsoft.com/office/drawing/2014/main" id="{00000000-0008-0000-3000-000033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Instructions">
              <a:hlinkClick xmlns:r="http://schemas.openxmlformats.org/officeDocument/2006/relationships" r:id="rId11" tooltip="Instructions"/>
              <a:extLst>
                <a:ext uri="{FF2B5EF4-FFF2-40B4-BE49-F238E27FC236}">
                  <a16:creationId xmlns:a16="http://schemas.microsoft.com/office/drawing/2014/main" id="{00000000-0008-0000-3000-000034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Welcome">
              <a:hlinkClick xmlns:r="http://schemas.openxmlformats.org/officeDocument/2006/relationships" r:id="rId12" tooltip="Welcome"/>
              <a:extLst>
                <a:ext uri="{FF2B5EF4-FFF2-40B4-BE49-F238E27FC236}">
                  <a16:creationId xmlns:a16="http://schemas.microsoft.com/office/drawing/2014/main" id="{00000000-0008-0000-3000-000035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4" name="Evergy Logo">
              <a:extLst>
                <a:ext uri="{FF2B5EF4-FFF2-40B4-BE49-F238E27FC236}">
                  <a16:creationId xmlns:a16="http://schemas.microsoft.com/office/drawing/2014/main" id="{00000000-0008-0000-3000-00003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29" name="Dividers">
            <a:extLst>
              <a:ext uri="{FF2B5EF4-FFF2-40B4-BE49-F238E27FC236}">
                <a16:creationId xmlns:a16="http://schemas.microsoft.com/office/drawing/2014/main" id="{00000000-0008-0000-3000-00001D000000}"/>
              </a:ext>
            </a:extLst>
          </xdr:cNvPr>
          <xdr:cNvGrpSpPr/>
        </xdr:nvGrpSpPr>
        <xdr:grpSpPr>
          <a:xfrm>
            <a:off x="1615312" y="85571"/>
            <a:ext cx="12926000" cy="423176"/>
            <a:chOff x="1615312" y="85571"/>
            <a:chExt cx="12926000" cy="423176"/>
          </a:xfrm>
        </xdr:grpSpPr>
        <xdr:cxnSp macro="">
          <xdr:nvCxnSpPr>
            <xdr:cNvPr id="30" name="Divider 4">
              <a:extLst>
                <a:ext uri="{FF2B5EF4-FFF2-40B4-BE49-F238E27FC236}">
                  <a16:creationId xmlns:a16="http://schemas.microsoft.com/office/drawing/2014/main" id="{00000000-0008-0000-3000-00001E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30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3000-000020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3000-000021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oneCellAnchor>
    <xdr:from>
      <xdr:col>42</xdr:col>
      <xdr:colOff>145676</xdr:colOff>
      <xdr:row>8</xdr:row>
      <xdr:rowOff>100854</xdr:rowOff>
    </xdr:from>
    <xdr:ext cx="548282" cy="402515"/>
    <xdr:sp macro="" textlink="">
      <xdr:nvSpPr>
        <xdr:cNvPr id="2" name="Arrow: Right N2S4">
          <a:hlinkClick xmlns:r="http://schemas.openxmlformats.org/officeDocument/2006/relationships" r:id="rId1" tooltip="Forward: Design Team Meeting"/>
          <a:extLst>
            <a:ext uri="{FF2B5EF4-FFF2-40B4-BE49-F238E27FC236}">
              <a16:creationId xmlns:a16="http://schemas.microsoft.com/office/drawing/2014/main" id="{00000000-0008-0000-3100-000002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oneCellAnchor>
  <xdr:oneCellAnchor>
    <xdr:from>
      <xdr:col>1</xdr:col>
      <xdr:colOff>212910</xdr:colOff>
      <xdr:row>8</xdr:row>
      <xdr:rowOff>100854</xdr:rowOff>
    </xdr:from>
    <xdr:ext cx="544606" cy="402515"/>
    <xdr:sp macro="" textlink="">
      <xdr:nvSpPr>
        <xdr:cNvPr id="3" name="Arrow: Left N2S2">
          <a:hlinkClick xmlns:r="http://schemas.openxmlformats.org/officeDocument/2006/relationships" r:id="rId2" tooltip="Back: Design Team Information"/>
          <a:extLst>
            <a:ext uri="{FF2B5EF4-FFF2-40B4-BE49-F238E27FC236}">
              <a16:creationId xmlns:a16="http://schemas.microsoft.com/office/drawing/2014/main" id="{00000000-0008-0000-3100-000003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6</xdr:col>
      <xdr:colOff>0</xdr:colOff>
      <xdr:row>3</xdr:row>
      <xdr:rowOff>0</xdr:rowOff>
    </xdr:from>
    <xdr:ext cx="11518745" cy="985302"/>
    <xdr:grpSp>
      <xdr:nvGrpSpPr>
        <xdr:cNvPr id="11" name="Navigation">
          <a:extLst>
            <a:ext uri="{FF2B5EF4-FFF2-40B4-BE49-F238E27FC236}">
              <a16:creationId xmlns:a16="http://schemas.microsoft.com/office/drawing/2014/main" id="{00000000-0008-0000-3100-00000B000000}"/>
            </a:ext>
          </a:extLst>
        </xdr:cNvPr>
        <xdr:cNvGrpSpPr/>
      </xdr:nvGrpSpPr>
      <xdr:grpSpPr>
        <a:xfrm>
          <a:off x="1882588" y="605118"/>
          <a:ext cx="11518745" cy="985302"/>
          <a:chOff x="1576553" y="592282"/>
          <a:chExt cx="11373937" cy="986117"/>
        </a:xfrm>
      </xdr:grpSpPr>
      <xdr:cxnSp macro="">
        <xdr:nvCxnSpPr>
          <xdr:cNvPr id="12" name="Reference">
            <a:extLst>
              <a:ext uri="{FF2B5EF4-FFF2-40B4-BE49-F238E27FC236}">
                <a16:creationId xmlns:a16="http://schemas.microsoft.com/office/drawing/2014/main" id="{00000000-0008-0000-3100-00000C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3" name="7: Project Review">
            <a:hlinkClick xmlns:r="http://schemas.openxmlformats.org/officeDocument/2006/relationships" r:id="rId3" tooltip="Project Review"/>
            <a:extLst>
              <a:ext uri="{FF2B5EF4-FFF2-40B4-BE49-F238E27FC236}">
                <a16:creationId xmlns:a16="http://schemas.microsoft.com/office/drawing/2014/main" id="{00000000-0008-0000-3100-00000D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4" name="6: Payment">
            <a:hlinkClick xmlns:r="http://schemas.openxmlformats.org/officeDocument/2006/relationships" r:id="rId4" tooltip="Payment"/>
            <a:extLst>
              <a:ext uri="{FF2B5EF4-FFF2-40B4-BE49-F238E27FC236}">
                <a16:creationId xmlns:a16="http://schemas.microsoft.com/office/drawing/2014/main" id="{00000000-0008-0000-3100-00000E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5" name="5: Equipment Input">
            <a:hlinkClick xmlns:r="http://schemas.openxmlformats.org/officeDocument/2006/relationships" r:id="rId5" tooltip="Equipment Input"/>
            <a:extLst>
              <a:ext uri="{FF2B5EF4-FFF2-40B4-BE49-F238E27FC236}">
                <a16:creationId xmlns:a16="http://schemas.microsoft.com/office/drawing/2014/main" id="{00000000-0008-0000-3100-00000F000000}"/>
              </a:ext>
            </a:extLst>
          </xdr:cNvPr>
          <xdr:cNvSpPr/>
        </xdr:nvSpPr>
        <xdr:spPr>
          <a:xfrm>
            <a:off x="7948506"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6" name="4: DTM">
            <a:hlinkClick xmlns:r="http://schemas.openxmlformats.org/officeDocument/2006/relationships" r:id="rId1" tooltip="Building Information"/>
            <a:extLst>
              <a:ext uri="{FF2B5EF4-FFF2-40B4-BE49-F238E27FC236}">
                <a16:creationId xmlns:a16="http://schemas.microsoft.com/office/drawing/2014/main" id="{00000000-0008-0000-3100-000010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7" name="3: Customer/Bldg Info">
            <a:hlinkClick xmlns:r="http://schemas.openxmlformats.org/officeDocument/2006/relationships" r:id="rId6" tooltip="Customer Information"/>
            <a:extLst>
              <a:ext uri="{FF2B5EF4-FFF2-40B4-BE49-F238E27FC236}">
                <a16:creationId xmlns:a16="http://schemas.microsoft.com/office/drawing/2014/main" id="{00000000-0008-0000-3100-000011000000}"/>
              </a:ext>
            </a:extLst>
          </xdr:cNvPr>
          <xdr:cNvSpPr/>
        </xdr:nvSpPr>
        <xdr:spPr>
          <a:xfrm>
            <a:off x="4762530"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8" name="2: Design Team">
            <a:hlinkClick xmlns:r="http://schemas.openxmlformats.org/officeDocument/2006/relationships" r:id="rId2" tooltip="Trade Ally/Vendor Information"/>
            <a:extLst>
              <a:ext uri="{FF2B5EF4-FFF2-40B4-BE49-F238E27FC236}">
                <a16:creationId xmlns:a16="http://schemas.microsoft.com/office/drawing/2014/main" id="{00000000-0008-0000-3100-000012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9" name="1: T&amp;C's">
            <a:hlinkClick xmlns:r="http://schemas.openxmlformats.org/officeDocument/2006/relationships" r:id="rId7" tooltip="Terms &amp; Conditions"/>
            <a:extLst>
              <a:ext uri="{FF2B5EF4-FFF2-40B4-BE49-F238E27FC236}">
                <a16:creationId xmlns:a16="http://schemas.microsoft.com/office/drawing/2014/main" id="{00000000-0008-0000-3100-000013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oneCellAnchor>
  <xdr:twoCellAnchor editAs="oneCell">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3100-00001B000000}"/>
            </a:ext>
          </a:extLst>
        </xdr:cNvPr>
        <xdr:cNvGrpSpPr/>
      </xdr:nvGrpSpPr>
      <xdr:grpSpPr>
        <a:xfrm>
          <a:off x="0" y="0"/>
          <a:ext cx="15374471" cy="605118"/>
          <a:chOff x="0" y="0"/>
          <a:chExt cx="15822705" cy="591825"/>
        </a:xfrm>
      </xdr:grpSpPr>
      <xdr:grpSp>
        <xdr:nvGrpSpPr>
          <xdr:cNvPr id="28" name="Header">
            <a:extLst>
              <a:ext uri="{FF2B5EF4-FFF2-40B4-BE49-F238E27FC236}">
                <a16:creationId xmlns:a16="http://schemas.microsoft.com/office/drawing/2014/main" id="{00000000-0008-0000-3100-00001C000000}"/>
              </a:ext>
            </a:extLst>
          </xdr:cNvPr>
          <xdr:cNvGrpSpPr/>
        </xdr:nvGrpSpPr>
        <xdr:grpSpPr>
          <a:xfrm>
            <a:off x="0" y="0"/>
            <a:ext cx="15822705" cy="591825"/>
            <a:chOff x="0" y="0"/>
            <a:chExt cx="15822705" cy="591825"/>
          </a:xfrm>
        </xdr:grpSpPr>
        <xdr:sp macro="" textlink="">
          <xdr:nvSpPr>
            <xdr:cNvPr id="34" name="Reference">
              <a:extLst>
                <a:ext uri="{FF2B5EF4-FFF2-40B4-BE49-F238E27FC236}">
                  <a16:creationId xmlns:a16="http://schemas.microsoft.com/office/drawing/2014/main" id="{00000000-0008-0000-3100-000022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3100-000023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mpletion">
              <a:hlinkClick xmlns:r="http://schemas.openxmlformats.org/officeDocument/2006/relationships" r:id="rId9" tooltip=" "/>
              <a:extLst>
                <a:ext uri="{FF2B5EF4-FFF2-40B4-BE49-F238E27FC236}">
                  <a16:creationId xmlns:a16="http://schemas.microsoft.com/office/drawing/2014/main" id="{00000000-0008-0000-3100-000032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Offer">
              <a:hlinkClick xmlns:r="http://schemas.openxmlformats.org/officeDocument/2006/relationships" r:id="rId10" tooltip=" "/>
              <a:extLst>
                <a:ext uri="{FF2B5EF4-FFF2-40B4-BE49-F238E27FC236}">
                  <a16:creationId xmlns:a16="http://schemas.microsoft.com/office/drawing/2014/main" id="{00000000-0008-0000-3100-000033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Instructions">
              <a:hlinkClick xmlns:r="http://schemas.openxmlformats.org/officeDocument/2006/relationships" r:id="rId11" tooltip="Instructions"/>
              <a:extLst>
                <a:ext uri="{FF2B5EF4-FFF2-40B4-BE49-F238E27FC236}">
                  <a16:creationId xmlns:a16="http://schemas.microsoft.com/office/drawing/2014/main" id="{00000000-0008-0000-3100-000034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Welcome">
              <a:hlinkClick xmlns:r="http://schemas.openxmlformats.org/officeDocument/2006/relationships" r:id="rId12" tooltip="Welcome"/>
              <a:extLst>
                <a:ext uri="{FF2B5EF4-FFF2-40B4-BE49-F238E27FC236}">
                  <a16:creationId xmlns:a16="http://schemas.microsoft.com/office/drawing/2014/main" id="{00000000-0008-0000-3100-000035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4" name="Evergy Logo">
              <a:extLst>
                <a:ext uri="{FF2B5EF4-FFF2-40B4-BE49-F238E27FC236}">
                  <a16:creationId xmlns:a16="http://schemas.microsoft.com/office/drawing/2014/main" id="{00000000-0008-0000-3100-00003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29" name="Dividers">
            <a:extLst>
              <a:ext uri="{FF2B5EF4-FFF2-40B4-BE49-F238E27FC236}">
                <a16:creationId xmlns:a16="http://schemas.microsoft.com/office/drawing/2014/main" id="{00000000-0008-0000-3100-00001D000000}"/>
              </a:ext>
            </a:extLst>
          </xdr:cNvPr>
          <xdr:cNvGrpSpPr/>
        </xdr:nvGrpSpPr>
        <xdr:grpSpPr>
          <a:xfrm>
            <a:off x="1615312" y="85571"/>
            <a:ext cx="12926000" cy="423176"/>
            <a:chOff x="1615312" y="85571"/>
            <a:chExt cx="12926000" cy="423176"/>
          </a:xfrm>
        </xdr:grpSpPr>
        <xdr:cxnSp macro="">
          <xdr:nvCxnSpPr>
            <xdr:cNvPr id="30" name="Divider 4">
              <a:extLst>
                <a:ext uri="{FF2B5EF4-FFF2-40B4-BE49-F238E27FC236}">
                  <a16:creationId xmlns:a16="http://schemas.microsoft.com/office/drawing/2014/main" id="{00000000-0008-0000-3100-00001E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31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3100-000020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3100-000021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42</xdr:col>
      <xdr:colOff>67234</xdr:colOff>
      <xdr:row>138</xdr:row>
      <xdr:rowOff>22404</xdr:rowOff>
    </xdr:from>
    <xdr:to>
      <xdr:col>44</xdr:col>
      <xdr:colOff>313764</xdr:colOff>
      <xdr:row>141</xdr:row>
      <xdr:rowOff>179290</xdr:rowOff>
    </xdr:to>
    <xdr:grpSp>
      <xdr:nvGrpSpPr>
        <xdr:cNvPr id="52" name="Handbook">
          <a:hlinkClick xmlns:r="http://schemas.openxmlformats.org/officeDocument/2006/relationships" r:id="rId1" tooltip="New Construction Handbook"/>
          <a:extLst>
            <a:ext uri="{FF2B5EF4-FFF2-40B4-BE49-F238E27FC236}">
              <a16:creationId xmlns:a16="http://schemas.microsoft.com/office/drawing/2014/main" id="{00000000-0008-0000-3200-000034000000}"/>
            </a:ext>
          </a:extLst>
        </xdr:cNvPr>
        <xdr:cNvGrpSpPr/>
      </xdr:nvGrpSpPr>
      <xdr:grpSpPr>
        <a:xfrm>
          <a:off x="13245352" y="24720169"/>
          <a:ext cx="874059" cy="762003"/>
          <a:chOff x="13402233" y="7700111"/>
          <a:chExt cx="874059" cy="671018"/>
        </a:xfrm>
      </xdr:grpSpPr>
      <xdr:pic>
        <xdr:nvPicPr>
          <xdr:cNvPr id="53" name="Icon" descr="Open book">
            <a:extLst>
              <a:ext uri="{FF2B5EF4-FFF2-40B4-BE49-F238E27FC236}">
                <a16:creationId xmlns:a16="http://schemas.microsoft.com/office/drawing/2014/main" id="{00000000-0008-0000-32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594974" y="7700111"/>
            <a:ext cx="488576" cy="488576"/>
          </a:xfrm>
          <a:prstGeom prst="rect">
            <a:avLst/>
          </a:prstGeom>
        </xdr:spPr>
      </xdr:pic>
      <xdr:sp macro="" textlink="">
        <xdr:nvSpPr>
          <xdr:cNvPr id="54" name="Text">
            <a:hlinkClick xmlns:r="http://schemas.openxmlformats.org/officeDocument/2006/relationships" r:id="rId4" tooltip="New Construction Handbook"/>
            <a:extLst>
              <a:ext uri="{FF2B5EF4-FFF2-40B4-BE49-F238E27FC236}">
                <a16:creationId xmlns:a16="http://schemas.microsoft.com/office/drawing/2014/main" id="{00000000-0008-0000-3200-000036000000}"/>
              </a:ext>
            </a:extLst>
          </xdr:cNvPr>
          <xdr:cNvSpPr txBox="1"/>
        </xdr:nvSpPr>
        <xdr:spPr>
          <a:xfrm>
            <a:off x="13402233" y="8144169"/>
            <a:ext cx="874059" cy="2269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tx1">
                    <a:lumMod val="75000"/>
                    <a:lumOff val="25000"/>
                  </a:schemeClr>
                </a:solidFill>
                <a:latin typeface="Arial" panose="020B0604020202020204" pitchFamily="34" charset="0"/>
                <a:cs typeface="Arial" panose="020B0604020202020204" pitchFamily="34" charset="0"/>
              </a:rPr>
              <a:t>Handbook</a:t>
            </a:r>
          </a:p>
        </xdr:txBody>
      </xdr:sp>
    </xdr:grpSp>
    <xdr:clientData/>
  </xdr:twoCellAnchor>
  <xdr:twoCellAnchor editAs="oneCell">
    <xdr:from>
      <xdr:col>32</xdr:col>
      <xdr:colOff>123264</xdr:colOff>
      <xdr:row>138</xdr:row>
      <xdr:rowOff>56030</xdr:rowOff>
    </xdr:from>
    <xdr:to>
      <xdr:col>35</xdr:col>
      <xdr:colOff>124597</xdr:colOff>
      <xdr:row>139</xdr:row>
      <xdr:rowOff>144991</xdr:rowOff>
    </xdr:to>
    <xdr:pic>
      <xdr:nvPicPr>
        <xdr:cNvPr id="36" name="TRC 2">
          <a:extLst>
            <a:ext uri="{FF2B5EF4-FFF2-40B4-BE49-F238E27FC236}">
              <a16:creationId xmlns:a16="http://schemas.microsoft.com/office/drawing/2014/main" id="{00000000-0008-0000-3200-00002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163735" y="14578854"/>
          <a:ext cx="969521" cy="2861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31</xdr:col>
          <xdr:colOff>297180</xdr:colOff>
          <xdr:row>122</xdr:row>
          <xdr:rowOff>198120</xdr:rowOff>
        </xdr:from>
        <xdr:to>
          <xdr:col>36</xdr:col>
          <xdr:colOff>7620</xdr:colOff>
          <xdr:row>124</xdr:row>
          <xdr:rowOff>7621</xdr:rowOff>
        </xdr:to>
        <xdr:grpSp>
          <xdr:nvGrpSpPr>
            <xdr:cNvPr id="37" name="WBP">
              <a:extLst>
                <a:ext uri="{FF2B5EF4-FFF2-40B4-BE49-F238E27FC236}">
                  <a16:creationId xmlns:a16="http://schemas.microsoft.com/office/drawing/2014/main" id="{00000000-0008-0000-3200-000025000000}"/>
                </a:ext>
              </a:extLst>
            </xdr:cNvPr>
            <xdr:cNvGrpSpPr/>
          </xdr:nvGrpSpPr>
          <xdr:grpSpPr>
            <a:xfrm>
              <a:off x="10023886" y="21578944"/>
              <a:ext cx="1279263" cy="257736"/>
              <a:chOff x="10301800" y="24895954"/>
              <a:chExt cx="1324087" cy="275595"/>
            </a:xfrm>
          </xdr:grpSpPr>
          <xdr:sp macro="" textlink="">
            <xdr:nvSpPr>
              <xdr:cNvPr id="121928" name="WBP Box" hidden="1">
                <a:extLst>
                  <a:ext uri="{63B3BB69-23CF-44E3-9099-C40C66FF867C}">
                    <a14:compatExt spid="_x0000_s121928"/>
                  </a:ext>
                  <a:ext uri="{FF2B5EF4-FFF2-40B4-BE49-F238E27FC236}">
                    <a16:creationId xmlns:a16="http://schemas.microsoft.com/office/drawing/2014/main" id="{00000000-0008-0000-0F00-000048DC0100}"/>
                  </a:ext>
                </a:extLst>
              </xdr:cNvPr>
              <xdr:cNvSpPr/>
            </xdr:nvSpPr>
            <xdr:spPr bwMode="auto">
              <a:xfrm>
                <a:off x="10301800" y="24895954"/>
                <a:ext cx="1324087" cy="268045"/>
              </a:xfrm>
              <a:prstGeom prst="rect">
                <a:avLst/>
              </a:prstGeom>
              <a:noFill/>
              <a:ln w="9525">
                <a:miter lim="800000"/>
                <a:headEnd/>
                <a:tailEnd/>
              </a:ln>
              <a:extLst>
                <a:ext uri="{909E8E84-426E-40DD-AFC4-6F175D3DCCD1}">
                  <a14:hiddenFill>
                    <a:noFill/>
                  </a14:hiddenFill>
                </a:ext>
              </a:extLst>
            </xdr:spPr>
          </xdr:sp>
          <xdr:sp macro="" textlink="">
            <xdr:nvSpPr>
              <xdr:cNvPr id="121930" name="WBP - No" hidden="1">
                <a:extLst>
                  <a:ext uri="{63B3BB69-23CF-44E3-9099-C40C66FF867C}">
                    <a14:compatExt spid="_x0000_s121930"/>
                  </a:ext>
                  <a:ext uri="{FF2B5EF4-FFF2-40B4-BE49-F238E27FC236}">
                    <a16:creationId xmlns:a16="http://schemas.microsoft.com/office/drawing/2014/main" id="{00000000-0008-0000-0F00-00004ADC0100}"/>
                  </a:ext>
                </a:extLst>
              </xdr:cNvPr>
              <xdr:cNvSpPr/>
            </xdr:nvSpPr>
            <xdr:spPr bwMode="auto">
              <a:xfrm>
                <a:off x="10995660" y="24953707"/>
                <a:ext cx="368449" cy="2178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21929" name="WBP - Yes" hidden="1">
                <a:extLst>
                  <a:ext uri="{63B3BB69-23CF-44E3-9099-C40C66FF867C}">
                    <a14:compatExt spid="_x0000_s121929"/>
                  </a:ext>
                  <a:ext uri="{FF2B5EF4-FFF2-40B4-BE49-F238E27FC236}">
                    <a16:creationId xmlns:a16="http://schemas.microsoft.com/office/drawing/2014/main" id="{00000000-0008-0000-0F00-000049DC0100}"/>
                  </a:ext>
                </a:extLst>
              </xdr:cNvPr>
              <xdr:cNvSpPr/>
            </xdr:nvSpPr>
            <xdr:spPr bwMode="auto">
              <a:xfrm>
                <a:off x="10411161" y="24953707"/>
                <a:ext cx="376070" cy="2178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297180</xdr:colOff>
          <xdr:row>113</xdr:row>
          <xdr:rowOff>228600</xdr:rowOff>
        </xdr:from>
        <xdr:to>
          <xdr:col>36</xdr:col>
          <xdr:colOff>7620</xdr:colOff>
          <xdr:row>115</xdr:row>
          <xdr:rowOff>30481</xdr:rowOff>
        </xdr:to>
        <xdr:grpSp>
          <xdr:nvGrpSpPr>
            <xdr:cNvPr id="34" name="Custom">
              <a:extLst>
                <a:ext uri="{FF2B5EF4-FFF2-40B4-BE49-F238E27FC236}">
                  <a16:creationId xmlns:a16="http://schemas.microsoft.com/office/drawing/2014/main" id="{00000000-0008-0000-3200-000022000000}"/>
                </a:ext>
              </a:extLst>
            </xdr:cNvPr>
            <xdr:cNvGrpSpPr/>
          </xdr:nvGrpSpPr>
          <xdr:grpSpPr>
            <a:xfrm>
              <a:off x="10023886" y="19704424"/>
              <a:ext cx="1279263" cy="250116"/>
              <a:chOff x="10301800" y="23034572"/>
              <a:chExt cx="1324087" cy="268044"/>
            </a:xfrm>
          </xdr:grpSpPr>
          <xdr:sp macro="" textlink="">
            <xdr:nvSpPr>
              <xdr:cNvPr id="121923" name="Custom Box" hidden="1">
                <a:extLst>
                  <a:ext uri="{63B3BB69-23CF-44E3-9099-C40C66FF867C}">
                    <a14:compatExt spid="_x0000_s121923"/>
                  </a:ext>
                  <a:ext uri="{FF2B5EF4-FFF2-40B4-BE49-F238E27FC236}">
                    <a16:creationId xmlns:a16="http://schemas.microsoft.com/office/drawing/2014/main" id="{00000000-0008-0000-0F00-000043DC0100}"/>
                  </a:ext>
                </a:extLst>
              </xdr:cNvPr>
              <xdr:cNvSpPr/>
            </xdr:nvSpPr>
            <xdr:spPr bwMode="auto">
              <a:xfrm>
                <a:off x="10301800" y="23034572"/>
                <a:ext cx="1324087" cy="268044"/>
              </a:xfrm>
              <a:prstGeom prst="rect">
                <a:avLst/>
              </a:prstGeom>
              <a:noFill/>
              <a:ln w="9525">
                <a:miter lim="800000"/>
                <a:headEnd/>
                <a:tailEnd/>
              </a:ln>
              <a:extLst>
                <a:ext uri="{909E8E84-426E-40DD-AFC4-6F175D3DCCD1}">
                  <a14:hiddenFill>
                    <a:noFill/>
                  </a14:hiddenFill>
                </a:ext>
              </a:extLst>
            </xdr:spPr>
          </xdr:sp>
          <xdr:sp macro="" textlink="">
            <xdr:nvSpPr>
              <xdr:cNvPr id="121927" name="Custom - No" hidden="1">
                <a:extLst>
                  <a:ext uri="{63B3BB69-23CF-44E3-9099-C40C66FF867C}">
                    <a14:compatExt spid="_x0000_s121927"/>
                  </a:ext>
                  <a:ext uri="{FF2B5EF4-FFF2-40B4-BE49-F238E27FC236}">
                    <a16:creationId xmlns:a16="http://schemas.microsoft.com/office/drawing/2014/main" id="{00000000-0008-0000-0F00-000047DC0100}"/>
                  </a:ext>
                </a:extLst>
              </xdr:cNvPr>
              <xdr:cNvSpPr/>
            </xdr:nvSpPr>
            <xdr:spPr bwMode="auto">
              <a:xfrm>
                <a:off x="10995660" y="23062154"/>
                <a:ext cx="368449" cy="2178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21926" name="Custom - Yes" hidden="1">
                <a:extLst>
                  <a:ext uri="{63B3BB69-23CF-44E3-9099-C40C66FF867C}">
                    <a14:compatExt spid="_x0000_s121926"/>
                  </a:ext>
                  <a:ext uri="{FF2B5EF4-FFF2-40B4-BE49-F238E27FC236}">
                    <a16:creationId xmlns:a16="http://schemas.microsoft.com/office/drawing/2014/main" id="{00000000-0008-0000-0F00-000046DC0100}"/>
                  </a:ext>
                </a:extLst>
              </xdr:cNvPr>
              <xdr:cNvSpPr/>
            </xdr:nvSpPr>
            <xdr:spPr bwMode="auto">
              <a:xfrm>
                <a:off x="10411161" y="23062154"/>
                <a:ext cx="376070" cy="2178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103</xdr:row>
          <xdr:rowOff>897</xdr:rowOff>
        </xdr:from>
        <xdr:to>
          <xdr:col>11</xdr:col>
          <xdr:colOff>0</xdr:colOff>
          <xdr:row>105</xdr:row>
          <xdr:rowOff>22860</xdr:rowOff>
        </xdr:to>
        <xdr:grpSp>
          <xdr:nvGrpSpPr>
            <xdr:cNvPr id="33" name="Std. Rec.">
              <a:extLst>
                <a:ext uri="{FF2B5EF4-FFF2-40B4-BE49-F238E27FC236}">
                  <a16:creationId xmlns:a16="http://schemas.microsoft.com/office/drawing/2014/main" id="{00000000-0008-0000-3200-000021000000}"/>
                </a:ext>
              </a:extLst>
            </xdr:cNvPr>
            <xdr:cNvGrpSpPr/>
          </xdr:nvGrpSpPr>
          <xdr:grpSpPr>
            <a:xfrm>
              <a:off x="3221467" y="17459662"/>
              <a:ext cx="229945" cy="425374"/>
              <a:chOff x="3311114" y="20834888"/>
              <a:chExt cx="238910" cy="416390"/>
            </a:xfrm>
          </xdr:grpSpPr>
          <xdr:sp macro="" textlink="">
            <xdr:nvSpPr>
              <xdr:cNvPr id="121900" name="Food Services" hidden="1">
                <a:extLst>
                  <a:ext uri="{63B3BB69-23CF-44E3-9099-C40C66FF867C}">
                    <a14:compatExt spid="_x0000_s121900"/>
                  </a:ext>
                  <a:ext uri="{FF2B5EF4-FFF2-40B4-BE49-F238E27FC236}">
                    <a16:creationId xmlns:a16="http://schemas.microsoft.com/office/drawing/2014/main" id="{00000000-0008-0000-0F00-00002CDC0100}"/>
                  </a:ext>
                </a:extLst>
              </xdr:cNvPr>
              <xdr:cNvSpPr/>
            </xdr:nvSpPr>
            <xdr:spPr bwMode="auto">
              <a:xfrm>
                <a:off x="3311114" y="21031193"/>
                <a:ext cx="238910" cy="22008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21898" name="HVAC" hidden="1">
                <a:extLst>
                  <a:ext uri="{63B3BB69-23CF-44E3-9099-C40C66FF867C}">
                    <a14:compatExt spid="_x0000_s121898"/>
                  </a:ext>
                  <a:ext uri="{FF2B5EF4-FFF2-40B4-BE49-F238E27FC236}">
                    <a16:creationId xmlns:a16="http://schemas.microsoft.com/office/drawing/2014/main" id="{00000000-0008-0000-0F00-00002ADC0100}"/>
                  </a:ext>
                </a:extLst>
              </xdr:cNvPr>
              <xdr:cNvSpPr/>
            </xdr:nvSpPr>
            <xdr:spPr bwMode="auto">
              <a:xfrm>
                <a:off x="3311114" y="20834888"/>
                <a:ext cx="238910" cy="21918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297180</xdr:colOff>
          <xdr:row>100</xdr:row>
          <xdr:rowOff>0</xdr:rowOff>
        </xdr:from>
        <xdr:to>
          <xdr:col>36</xdr:col>
          <xdr:colOff>7620</xdr:colOff>
          <xdr:row>101</xdr:row>
          <xdr:rowOff>30480</xdr:rowOff>
        </xdr:to>
        <xdr:grpSp>
          <xdr:nvGrpSpPr>
            <xdr:cNvPr id="20" name="Std.">
              <a:extLst>
                <a:ext uri="{FF2B5EF4-FFF2-40B4-BE49-F238E27FC236}">
                  <a16:creationId xmlns:a16="http://schemas.microsoft.com/office/drawing/2014/main" id="{00000000-0008-0000-3200-000014000000}"/>
                </a:ext>
              </a:extLst>
            </xdr:cNvPr>
            <xdr:cNvGrpSpPr/>
          </xdr:nvGrpSpPr>
          <xdr:grpSpPr>
            <a:xfrm>
              <a:off x="10023886" y="16831235"/>
              <a:ext cx="1279263" cy="254598"/>
              <a:chOff x="10301800" y="20206199"/>
              <a:chExt cx="1324087" cy="263562"/>
            </a:xfrm>
          </xdr:grpSpPr>
          <xdr:sp macro="" textlink="">
            <xdr:nvSpPr>
              <xdr:cNvPr id="121920" name="Std Box" hidden="1">
                <a:extLst>
                  <a:ext uri="{63B3BB69-23CF-44E3-9099-C40C66FF867C}">
                    <a14:compatExt spid="_x0000_s121920"/>
                  </a:ext>
                  <a:ext uri="{FF2B5EF4-FFF2-40B4-BE49-F238E27FC236}">
                    <a16:creationId xmlns:a16="http://schemas.microsoft.com/office/drawing/2014/main" id="{00000000-0008-0000-0F00-000040DC0100}"/>
                  </a:ext>
                </a:extLst>
              </xdr:cNvPr>
              <xdr:cNvSpPr/>
            </xdr:nvSpPr>
            <xdr:spPr bwMode="auto">
              <a:xfrm>
                <a:off x="10301800" y="20206199"/>
                <a:ext cx="1324087" cy="263562"/>
              </a:xfrm>
              <a:prstGeom prst="rect">
                <a:avLst/>
              </a:prstGeom>
              <a:noFill/>
              <a:ln w="9525">
                <a:miter lim="800000"/>
                <a:headEnd/>
                <a:tailEnd/>
              </a:ln>
              <a:extLst>
                <a:ext uri="{909E8E84-426E-40DD-AFC4-6F175D3DCCD1}">
                  <a14:hiddenFill>
                    <a:noFill/>
                  </a14:hiddenFill>
                </a:ext>
              </a:extLst>
            </xdr:spPr>
          </xdr:sp>
          <xdr:sp macro="" textlink="">
            <xdr:nvSpPr>
              <xdr:cNvPr id="121922" name="Std - No" hidden="1">
                <a:extLst>
                  <a:ext uri="{63B3BB69-23CF-44E3-9099-C40C66FF867C}">
                    <a14:compatExt spid="_x0000_s121922"/>
                  </a:ext>
                  <a:ext uri="{FF2B5EF4-FFF2-40B4-BE49-F238E27FC236}">
                    <a16:creationId xmlns:a16="http://schemas.microsoft.com/office/drawing/2014/main" id="{00000000-0008-0000-0F00-000042DC0100}"/>
                  </a:ext>
                </a:extLst>
              </xdr:cNvPr>
              <xdr:cNvSpPr/>
            </xdr:nvSpPr>
            <xdr:spPr bwMode="auto">
              <a:xfrm>
                <a:off x="10995660" y="20229306"/>
                <a:ext cx="368449" cy="2330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21921" name="Std - Yes" hidden="1">
                <a:extLst>
                  <a:ext uri="{63B3BB69-23CF-44E3-9099-C40C66FF867C}">
                    <a14:compatExt spid="_x0000_s121921"/>
                  </a:ext>
                  <a:ext uri="{FF2B5EF4-FFF2-40B4-BE49-F238E27FC236}">
                    <a16:creationId xmlns:a16="http://schemas.microsoft.com/office/drawing/2014/main" id="{00000000-0008-0000-0F00-000041DC0100}"/>
                  </a:ext>
                </a:extLst>
              </xdr:cNvPr>
              <xdr:cNvSpPr/>
            </xdr:nvSpPr>
            <xdr:spPr bwMode="auto">
              <a:xfrm>
                <a:off x="10411161" y="20229306"/>
                <a:ext cx="376070" cy="2330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297180</xdr:colOff>
          <xdr:row>83</xdr:row>
          <xdr:rowOff>30480</xdr:rowOff>
        </xdr:from>
        <xdr:to>
          <xdr:col>36</xdr:col>
          <xdr:colOff>7620</xdr:colOff>
          <xdr:row>98</xdr:row>
          <xdr:rowOff>52892</xdr:rowOff>
        </xdr:to>
        <xdr:grpSp>
          <xdr:nvGrpSpPr>
            <xdr:cNvPr id="17" name="Mult. Space" hidden="1">
              <a:extLst>
                <a:ext uri="{FF2B5EF4-FFF2-40B4-BE49-F238E27FC236}">
                  <a16:creationId xmlns:a16="http://schemas.microsoft.com/office/drawing/2014/main" id="{00000000-0008-0000-3200-000011000000}"/>
                </a:ext>
              </a:extLst>
            </xdr:cNvPr>
            <xdr:cNvGrpSpPr/>
          </xdr:nvGrpSpPr>
          <xdr:grpSpPr>
            <a:xfrm>
              <a:off x="10023886" y="16158882"/>
              <a:ext cx="1279263" cy="254598"/>
              <a:chOff x="10301800" y="16767380"/>
              <a:chExt cx="1324087" cy="263562"/>
            </a:xfrm>
          </xdr:grpSpPr>
          <xdr:sp macro="" textlink="">
            <xdr:nvSpPr>
              <xdr:cNvPr id="121917" name="Mult. Space Box" hidden="1">
                <a:extLst>
                  <a:ext uri="{63B3BB69-23CF-44E3-9099-C40C66FF867C}">
                    <a14:compatExt spid="_x0000_s121917"/>
                  </a:ext>
                  <a:ext uri="{FF2B5EF4-FFF2-40B4-BE49-F238E27FC236}">
                    <a16:creationId xmlns:a16="http://schemas.microsoft.com/office/drawing/2014/main" id="{00000000-0008-0000-0F00-00003DDC0100}"/>
                  </a:ext>
                </a:extLst>
              </xdr:cNvPr>
              <xdr:cNvSpPr/>
            </xdr:nvSpPr>
            <xdr:spPr bwMode="auto">
              <a:xfrm>
                <a:off x="10301800" y="16767380"/>
                <a:ext cx="1324087" cy="263562"/>
              </a:xfrm>
              <a:prstGeom prst="rect">
                <a:avLst/>
              </a:prstGeom>
              <a:noFill/>
              <a:ln w="9525">
                <a:miter lim="800000"/>
                <a:headEnd/>
                <a:tailEnd/>
              </a:ln>
              <a:extLst>
                <a:ext uri="{909E8E84-426E-40DD-AFC4-6F175D3DCCD1}">
                  <a14:hiddenFill>
                    <a:noFill/>
                  </a14:hiddenFill>
                </a:ext>
              </a:extLst>
            </xdr:spPr>
          </xdr:sp>
          <xdr:sp macro="" textlink="">
            <xdr:nvSpPr>
              <xdr:cNvPr id="121919" name="Mult. Space - No" hidden="1">
                <a:extLst>
                  <a:ext uri="{63B3BB69-23CF-44E3-9099-C40C66FF867C}">
                    <a14:compatExt spid="_x0000_s121919"/>
                  </a:ext>
                  <a:ext uri="{FF2B5EF4-FFF2-40B4-BE49-F238E27FC236}">
                    <a16:creationId xmlns:a16="http://schemas.microsoft.com/office/drawing/2014/main" id="{00000000-0008-0000-0F00-00003FDC0100}"/>
                  </a:ext>
                </a:extLst>
              </xdr:cNvPr>
              <xdr:cNvSpPr/>
            </xdr:nvSpPr>
            <xdr:spPr bwMode="auto">
              <a:xfrm>
                <a:off x="10995660" y="16782827"/>
                <a:ext cx="368449" cy="2330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21918" name="Mult. Space- Yes" hidden="1">
                <a:extLst>
                  <a:ext uri="{63B3BB69-23CF-44E3-9099-C40C66FF867C}">
                    <a14:compatExt spid="_x0000_s121918"/>
                  </a:ext>
                  <a:ext uri="{FF2B5EF4-FFF2-40B4-BE49-F238E27FC236}">
                    <a16:creationId xmlns:a16="http://schemas.microsoft.com/office/drawing/2014/main" id="{00000000-0008-0000-0F00-00003EDC0100}"/>
                  </a:ext>
                </a:extLst>
              </xdr:cNvPr>
              <xdr:cNvSpPr/>
            </xdr:nvSpPr>
            <xdr:spPr bwMode="auto">
              <a:xfrm>
                <a:off x="10411161" y="16782827"/>
                <a:ext cx="376070" cy="2330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297180</xdr:colOff>
          <xdr:row>81</xdr:row>
          <xdr:rowOff>198120</xdr:rowOff>
        </xdr:from>
        <xdr:to>
          <xdr:col>36</xdr:col>
          <xdr:colOff>7620</xdr:colOff>
          <xdr:row>98</xdr:row>
          <xdr:rowOff>56029</xdr:rowOff>
        </xdr:to>
        <xdr:grpSp>
          <xdr:nvGrpSpPr>
            <xdr:cNvPr id="16" name="Int. Ltg." hidden="1">
              <a:extLst>
                <a:ext uri="{FF2B5EF4-FFF2-40B4-BE49-F238E27FC236}">
                  <a16:creationId xmlns:a16="http://schemas.microsoft.com/office/drawing/2014/main" id="{00000000-0008-0000-3200-000010000000}"/>
                </a:ext>
              </a:extLst>
            </xdr:cNvPr>
            <xdr:cNvGrpSpPr/>
          </xdr:nvGrpSpPr>
          <xdr:grpSpPr>
            <a:xfrm>
              <a:off x="10023886" y="16158882"/>
              <a:ext cx="1279263" cy="257735"/>
              <a:chOff x="10301800" y="16469002"/>
              <a:chExt cx="1324087" cy="275724"/>
            </a:xfrm>
          </xdr:grpSpPr>
          <xdr:sp macro="" textlink="">
            <xdr:nvSpPr>
              <xdr:cNvPr id="121914" name="Int. Ltg. Box" hidden="1">
                <a:extLst>
                  <a:ext uri="{63B3BB69-23CF-44E3-9099-C40C66FF867C}">
                    <a14:compatExt spid="_x0000_s121914"/>
                  </a:ext>
                  <a:ext uri="{FF2B5EF4-FFF2-40B4-BE49-F238E27FC236}">
                    <a16:creationId xmlns:a16="http://schemas.microsoft.com/office/drawing/2014/main" id="{00000000-0008-0000-0F00-00003ADC0100}"/>
                  </a:ext>
                </a:extLst>
              </xdr:cNvPr>
              <xdr:cNvSpPr/>
            </xdr:nvSpPr>
            <xdr:spPr bwMode="auto">
              <a:xfrm>
                <a:off x="10301800" y="16469002"/>
                <a:ext cx="1324087" cy="275664"/>
              </a:xfrm>
              <a:prstGeom prst="rect">
                <a:avLst/>
              </a:prstGeom>
              <a:noFill/>
              <a:ln w="9525">
                <a:miter lim="800000"/>
                <a:headEnd/>
                <a:tailEnd/>
              </a:ln>
              <a:extLst>
                <a:ext uri="{909E8E84-426E-40DD-AFC4-6F175D3DCCD1}">
                  <a14:hiddenFill>
                    <a:noFill/>
                  </a14:hiddenFill>
                </a:ext>
              </a:extLst>
            </xdr:spPr>
          </xdr:sp>
          <xdr:sp macro="" textlink="">
            <xdr:nvSpPr>
              <xdr:cNvPr id="121916" name="Int. Ltg. - No" hidden="1">
                <a:extLst>
                  <a:ext uri="{63B3BB69-23CF-44E3-9099-C40C66FF867C}">
                    <a14:compatExt spid="_x0000_s121916"/>
                  </a:ext>
                  <a:ext uri="{FF2B5EF4-FFF2-40B4-BE49-F238E27FC236}">
                    <a16:creationId xmlns:a16="http://schemas.microsoft.com/office/drawing/2014/main" id="{00000000-0008-0000-0F00-00003CDC0100}"/>
                  </a:ext>
                </a:extLst>
              </xdr:cNvPr>
              <xdr:cNvSpPr/>
            </xdr:nvSpPr>
            <xdr:spPr bwMode="auto">
              <a:xfrm>
                <a:off x="10995660" y="16511644"/>
                <a:ext cx="368449" cy="2330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21915" name="Int. Ltg. - Yes" hidden="1">
                <a:extLst>
                  <a:ext uri="{63B3BB69-23CF-44E3-9099-C40C66FF867C}">
                    <a14:compatExt spid="_x0000_s121915"/>
                  </a:ext>
                  <a:ext uri="{FF2B5EF4-FFF2-40B4-BE49-F238E27FC236}">
                    <a16:creationId xmlns:a16="http://schemas.microsoft.com/office/drawing/2014/main" id="{00000000-0008-0000-0F00-00003BDC0100}"/>
                  </a:ext>
                </a:extLst>
              </xdr:cNvPr>
              <xdr:cNvSpPr/>
            </xdr:nvSpPr>
            <xdr:spPr bwMode="auto">
              <a:xfrm>
                <a:off x="10411161" y="16511644"/>
                <a:ext cx="376070" cy="2330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grpSp>
        <xdr:clientData/>
      </xdr:twoCellAnchor>
    </mc:Choice>
    <mc:Fallback/>
  </mc:AlternateContent>
  <xdr:twoCellAnchor editAs="oneCell">
    <xdr:from>
      <xdr:col>32</xdr:col>
      <xdr:colOff>123264</xdr:colOff>
      <xdr:row>74</xdr:row>
      <xdr:rowOff>56030</xdr:rowOff>
    </xdr:from>
    <xdr:to>
      <xdr:col>35</xdr:col>
      <xdr:colOff>124597</xdr:colOff>
      <xdr:row>75</xdr:row>
      <xdr:rowOff>144993</xdr:rowOff>
    </xdr:to>
    <xdr:pic>
      <xdr:nvPicPr>
        <xdr:cNvPr id="19" name="TRC 1">
          <a:extLst>
            <a:ext uri="{FF2B5EF4-FFF2-40B4-BE49-F238E27FC236}">
              <a16:creationId xmlns:a16="http://schemas.microsoft.com/office/drawing/2014/main" id="{00000000-0008-0000-3200-00001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163735" y="14578854"/>
          <a:ext cx="969521" cy="2861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68580</xdr:colOff>
          <xdr:row>43</xdr:row>
          <xdr:rowOff>190500</xdr:rowOff>
        </xdr:from>
        <xdr:to>
          <xdr:col>9</xdr:col>
          <xdr:colOff>297180</xdr:colOff>
          <xdr:row>56</xdr:row>
          <xdr:rowOff>190500</xdr:rowOff>
        </xdr:to>
        <xdr:grpSp>
          <xdr:nvGrpSpPr>
            <xdr:cNvPr id="15" name="Attendees">
              <a:extLst>
                <a:ext uri="{FF2B5EF4-FFF2-40B4-BE49-F238E27FC236}">
                  <a16:creationId xmlns:a16="http://schemas.microsoft.com/office/drawing/2014/main" id="{00000000-0008-0000-3200-00000F000000}"/>
                </a:ext>
              </a:extLst>
            </xdr:cNvPr>
            <xdr:cNvGrpSpPr/>
          </xdr:nvGrpSpPr>
          <xdr:grpSpPr>
            <a:xfrm>
              <a:off x="2892462" y="8964706"/>
              <a:ext cx="228600" cy="2644588"/>
              <a:chOff x="2973145" y="8769728"/>
              <a:chExt cx="228600" cy="2599763"/>
            </a:xfrm>
          </xdr:grpSpPr>
          <xdr:sp macro="" textlink="">
            <xdr:nvSpPr>
              <xdr:cNvPr id="121913" name="Att. - Other 2" hidden="1">
                <a:extLst>
                  <a:ext uri="{63B3BB69-23CF-44E3-9099-C40C66FF867C}">
                    <a14:compatExt spid="_x0000_s121913"/>
                  </a:ext>
                  <a:ext uri="{FF2B5EF4-FFF2-40B4-BE49-F238E27FC236}">
                    <a16:creationId xmlns:a16="http://schemas.microsoft.com/office/drawing/2014/main" id="{00000000-0008-0000-0F00-000039DC0100}"/>
                  </a:ext>
                </a:extLst>
              </xdr:cNvPr>
              <xdr:cNvSpPr/>
            </xdr:nvSpPr>
            <xdr:spPr bwMode="auto">
              <a:xfrm>
                <a:off x="2973145" y="11136409"/>
                <a:ext cx="228600" cy="2330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21910" name="Att. - Other" hidden="1">
                <a:extLst>
                  <a:ext uri="{63B3BB69-23CF-44E3-9099-C40C66FF867C}">
                    <a14:compatExt spid="_x0000_s121910"/>
                  </a:ext>
                  <a:ext uri="{FF2B5EF4-FFF2-40B4-BE49-F238E27FC236}">
                    <a16:creationId xmlns:a16="http://schemas.microsoft.com/office/drawing/2014/main" id="{00000000-0008-0000-0F00-000036DC0100}"/>
                  </a:ext>
                </a:extLst>
              </xdr:cNvPr>
              <xdr:cNvSpPr/>
            </xdr:nvSpPr>
            <xdr:spPr bwMode="auto">
              <a:xfrm>
                <a:off x="2973145" y="10741959"/>
                <a:ext cx="228600" cy="21156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21909" name="Att. - EE" hidden="1">
                <a:extLst>
                  <a:ext uri="{63B3BB69-23CF-44E3-9099-C40C66FF867C}">
                    <a14:compatExt spid="_x0000_s121909"/>
                  </a:ext>
                  <a:ext uri="{FF2B5EF4-FFF2-40B4-BE49-F238E27FC236}">
                    <a16:creationId xmlns:a16="http://schemas.microsoft.com/office/drawing/2014/main" id="{00000000-0008-0000-0F00-000035DC0100}"/>
                  </a:ext>
                </a:extLst>
              </xdr:cNvPr>
              <xdr:cNvSpPr/>
            </xdr:nvSpPr>
            <xdr:spPr bwMode="auto">
              <a:xfrm>
                <a:off x="2973145" y="10347512"/>
                <a:ext cx="228600" cy="21156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21908" name="Att. - ME" hidden="1">
                <a:extLst>
                  <a:ext uri="{63B3BB69-23CF-44E3-9099-C40C66FF867C}">
                    <a14:compatExt spid="_x0000_s121908"/>
                  </a:ext>
                  <a:ext uri="{FF2B5EF4-FFF2-40B4-BE49-F238E27FC236}">
                    <a16:creationId xmlns:a16="http://schemas.microsoft.com/office/drawing/2014/main" id="{00000000-0008-0000-0F00-000034DC0100}"/>
                  </a:ext>
                </a:extLst>
              </xdr:cNvPr>
              <xdr:cNvSpPr/>
            </xdr:nvSpPr>
            <xdr:spPr bwMode="auto">
              <a:xfrm>
                <a:off x="2973145" y="9953065"/>
                <a:ext cx="228600" cy="21156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21907" name="Att. - Arch" hidden="1">
                <a:extLst>
                  <a:ext uri="{63B3BB69-23CF-44E3-9099-C40C66FF867C}">
                    <a14:compatExt spid="_x0000_s121907"/>
                  </a:ext>
                  <a:ext uri="{FF2B5EF4-FFF2-40B4-BE49-F238E27FC236}">
                    <a16:creationId xmlns:a16="http://schemas.microsoft.com/office/drawing/2014/main" id="{00000000-0008-0000-0F00-000033DC0100}"/>
                  </a:ext>
                </a:extLst>
              </xdr:cNvPr>
              <xdr:cNvSpPr/>
            </xdr:nvSpPr>
            <xdr:spPr bwMode="auto">
              <a:xfrm>
                <a:off x="2973145" y="9558618"/>
                <a:ext cx="228600" cy="21156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21905" name="Att. - TA/GC" hidden="1">
                <a:extLst>
                  <a:ext uri="{63B3BB69-23CF-44E3-9099-C40C66FF867C}">
                    <a14:compatExt spid="_x0000_s121905"/>
                  </a:ext>
                  <a:ext uri="{FF2B5EF4-FFF2-40B4-BE49-F238E27FC236}">
                    <a16:creationId xmlns:a16="http://schemas.microsoft.com/office/drawing/2014/main" id="{00000000-0008-0000-0F00-000031DC0100}"/>
                  </a:ext>
                </a:extLst>
              </xdr:cNvPr>
              <xdr:cNvSpPr/>
            </xdr:nvSpPr>
            <xdr:spPr bwMode="auto">
              <a:xfrm>
                <a:off x="2973145" y="9164171"/>
                <a:ext cx="228600" cy="21156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21931" name="Att - SC" hidden="1">
                <a:extLst>
                  <a:ext uri="{63B3BB69-23CF-44E3-9099-C40C66FF867C}">
                    <a14:compatExt spid="_x0000_s121931"/>
                  </a:ext>
                  <a:ext uri="{FF2B5EF4-FFF2-40B4-BE49-F238E27FC236}">
                    <a16:creationId xmlns:a16="http://schemas.microsoft.com/office/drawing/2014/main" id="{00000000-0008-0000-0F00-00004BDC0100}"/>
                  </a:ext>
                </a:extLst>
              </xdr:cNvPr>
              <xdr:cNvSpPr/>
            </xdr:nvSpPr>
            <xdr:spPr bwMode="auto">
              <a:xfrm>
                <a:off x="2973145" y="8769728"/>
                <a:ext cx="228600" cy="21156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twoCellAnchor editAs="oneCell">
    <xdr:from>
      <xdr:col>11</xdr:col>
      <xdr:colOff>24278</xdr:colOff>
      <xdr:row>30</xdr:row>
      <xdr:rowOff>119344</xdr:rowOff>
    </xdr:from>
    <xdr:to>
      <xdr:col>34</xdr:col>
      <xdr:colOff>287991</xdr:colOff>
      <xdr:row>32</xdr:row>
      <xdr:rowOff>130553</xdr:rowOff>
    </xdr:to>
    <xdr:grpSp>
      <xdr:nvGrpSpPr>
        <xdr:cNvPr id="14" name="Phases">
          <a:extLst>
            <a:ext uri="{FF2B5EF4-FFF2-40B4-BE49-F238E27FC236}">
              <a16:creationId xmlns:a16="http://schemas.microsoft.com/office/drawing/2014/main" id="{00000000-0008-0000-3200-00000E000000}"/>
            </a:ext>
          </a:extLst>
        </xdr:cNvPr>
        <xdr:cNvGrpSpPr/>
      </xdr:nvGrpSpPr>
      <xdr:grpSpPr>
        <a:xfrm>
          <a:off x="3475690" y="6170520"/>
          <a:ext cx="7480301" cy="414621"/>
          <a:chOff x="3574302" y="6036050"/>
          <a:chExt cx="7686489" cy="405656"/>
        </a:xfrm>
      </xdr:grpSpPr>
      <xdr:sp macro="" textlink="">
        <xdr:nvSpPr>
          <xdr:cNvPr id="22" name="Phase CC">
            <a:extLst>
              <a:ext uri="{FF2B5EF4-FFF2-40B4-BE49-F238E27FC236}">
                <a16:creationId xmlns:a16="http://schemas.microsoft.com/office/drawing/2014/main" id="{00000000-0008-0000-3200-000016000000}"/>
              </a:ext>
            </a:extLst>
          </xdr:cNvPr>
          <xdr:cNvSpPr/>
        </xdr:nvSpPr>
        <xdr:spPr>
          <a:xfrm>
            <a:off x="9387168" y="6036051"/>
            <a:ext cx="1873623" cy="405654"/>
          </a:xfrm>
          <a:prstGeom prst="rect">
            <a:avLst/>
          </a:prstGeom>
          <a:solidFill>
            <a:srgbClr val="4FA7FF"/>
          </a:solidFill>
          <a:ln>
            <a:solidFill>
              <a:srgbClr val="4FA7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marL="0" indent="0" algn="ctr"/>
            <a:r>
              <a:rPr lang="en-US" sz="1000" b="1" i="0" u="none" strike="noStrike">
                <a:solidFill>
                  <a:schemeClr val="bg1"/>
                </a:solidFill>
                <a:latin typeface="Arial" panose="020B0604020202020204" pitchFamily="34" charset="0"/>
                <a:ea typeface="+mn-ea"/>
                <a:cs typeface="Arial" panose="020B0604020202020204" pitchFamily="34" charset="0"/>
              </a:rPr>
              <a:t>Construction Completion</a:t>
            </a:r>
          </a:p>
        </xdr:txBody>
      </xdr:sp>
      <xdr:sp macro="" textlink="">
        <xdr:nvSpPr>
          <xdr:cNvPr id="21" name="Phase PC">
            <a:extLst>
              <a:ext uri="{FF2B5EF4-FFF2-40B4-BE49-F238E27FC236}">
                <a16:creationId xmlns:a16="http://schemas.microsoft.com/office/drawing/2014/main" id="{00000000-0008-0000-3200-000015000000}"/>
              </a:ext>
            </a:extLst>
          </xdr:cNvPr>
          <xdr:cNvSpPr/>
        </xdr:nvSpPr>
        <xdr:spPr>
          <a:xfrm>
            <a:off x="7449546" y="6036050"/>
            <a:ext cx="1873624" cy="405654"/>
          </a:xfrm>
          <a:prstGeom prst="rect">
            <a:avLst/>
          </a:prstGeom>
          <a:solidFill>
            <a:srgbClr val="1D8EFF"/>
          </a:solidFill>
          <a:ln>
            <a:solidFill>
              <a:srgbClr val="1D8E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rIns="0" rtlCol="0" anchor="ctr"/>
          <a:lstStyle/>
          <a:p>
            <a:pPr marL="0" lvl="0" indent="0" algn="ctr"/>
            <a:r>
              <a:rPr lang="en-US" sz="1000" b="1" i="0" u="none" strike="noStrike">
                <a:solidFill>
                  <a:schemeClr val="bg1"/>
                </a:solidFill>
                <a:latin typeface="Arial" panose="020B0604020202020204" pitchFamily="34" charset="0"/>
                <a:ea typeface="+mn-ea"/>
                <a:cs typeface="Arial" panose="020B0604020202020204" pitchFamily="34" charset="0"/>
              </a:rPr>
              <a:t>Procurement &amp; Construction</a:t>
            </a:r>
          </a:p>
        </xdr:txBody>
      </xdr:sp>
      <xdr:sp macro="" textlink="">
        <xdr:nvSpPr>
          <xdr:cNvPr id="5" name="Phase DB">
            <a:extLst>
              <a:ext uri="{FF2B5EF4-FFF2-40B4-BE49-F238E27FC236}">
                <a16:creationId xmlns:a16="http://schemas.microsoft.com/office/drawing/2014/main" id="{00000000-0008-0000-3200-000005000000}"/>
              </a:ext>
            </a:extLst>
          </xdr:cNvPr>
          <xdr:cNvSpPr/>
        </xdr:nvSpPr>
        <xdr:spPr>
          <a:xfrm>
            <a:off x="5511924" y="6036052"/>
            <a:ext cx="1873623" cy="405654"/>
          </a:xfrm>
          <a:prstGeom prst="rect">
            <a:avLst/>
          </a:prstGeom>
          <a:solidFill>
            <a:srgbClr val="006BD6"/>
          </a:solidFill>
          <a:ln>
            <a:solidFill>
              <a:srgbClr val="006BD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marL="0" indent="0" algn="ctr"/>
            <a:r>
              <a:rPr lang="en-US" sz="1000" b="1" i="0" u="none" strike="noStrike">
                <a:solidFill>
                  <a:schemeClr val="bg1"/>
                </a:solidFill>
                <a:latin typeface="Arial" panose="020B0604020202020204" pitchFamily="34" charset="0"/>
                <a:ea typeface="+mn-ea"/>
                <a:cs typeface="Arial" panose="020B0604020202020204" pitchFamily="34" charset="0"/>
              </a:rPr>
              <a:t>Design/Build</a:t>
            </a:r>
          </a:p>
        </xdr:txBody>
      </xdr:sp>
      <xdr:sp macro="" textlink="">
        <xdr:nvSpPr>
          <xdr:cNvPr id="24" name="Phase PD">
            <a:extLst>
              <a:ext uri="{FF2B5EF4-FFF2-40B4-BE49-F238E27FC236}">
                <a16:creationId xmlns:a16="http://schemas.microsoft.com/office/drawing/2014/main" id="{00000000-0008-0000-3200-000018000000}"/>
              </a:ext>
            </a:extLst>
          </xdr:cNvPr>
          <xdr:cNvSpPr/>
        </xdr:nvSpPr>
        <xdr:spPr>
          <a:xfrm>
            <a:off x="3574302" y="6036050"/>
            <a:ext cx="1873624" cy="405654"/>
          </a:xfrm>
          <a:prstGeom prst="rect">
            <a:avLst/>
          </a:prstGeom>
          <a:solidFill>
            <a:srgbClr val="004E9A"/>
          </a:solidFill>
          <a:ln>
            <a:solidFill>
              <a:srgbClr val="004E9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marL="0" indent="0" algn="ctr"/>
            <a:r>
              <a:rPr lang="en-US" sz="1000" b="1" i="0" u="none" strike="noStrike">
                <a:solidFill>
                  <a:schemeClr val="bg1"/>
                </a:solidFill>
                <a:latin typeface="Arial" panose="020B0604020202020204" pitchFamily="34" charset="0"/>
                <a:ea typeface="+mn-ea"/>
                <a:cs typeface="Arial" panose="020B0604020202020204" pitchFamily="34" charset="0"/>
              </a:rPr>
              <a:t>Planning &amp; Development</a:t>
            </a:r>
          </a:p>
        </xdr:txBody>
      </xdr:sp>
    </xdr:grpSp>
    <xdr:clientData/>
  </xdr:twoCellAnchor>
  <xdr:oneCellAnchor>
    <xdr:from>
      <xdr:col>31</xdr:col>
      <xdr:colOff>29874</xdr:colOff>
      <xdr:row>13</xdr:row>
      <xdr:rowOff>100854</xdr:rowOff>
    </xdr:from>
    <xdr:ext cx="1677063" cy="632886"/>
    <xdr:pic>
      <xdr:nvPicPr>
        <xdr:cNvPr id="18" name="Evergy 2">
          <a:extLst>
            <a:ext uri="{FF2B5EF4-FFF2-40B4-BE49-F238E27FC236}">
              <a16:creationId xmlns:a16="http://schemas.microsoft.com/office/drawing/2014/main" id="{00000000-0008-0000-3200-000012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9756580" y="2924736"/>
          <a:ext cx="1677063" cy="632886"/>
        </a:xfrm>
        <a:prstGeom prst="rect">
          <a:avLst/>
        </a:prstGeom>
      </xdr:spPr>
    </xdr:pic>
    <xdr:clientData/>
  </xdr:oneCellAnchor>
  <xdr:twoCellAnchor>
    <xdr:from>
      <xdr:col>42</xdr:col>
      <xdr:colOff>145676</xdr:colOff>
      <xdr:row>8</xdr:row>
      <xdr:rowOff>100854</xdr:rowOff>
    </xdr:from>
    <xdr:to>
      <xdr:col>44</xdr:col>
      <xdr:colOff>48499</xdr:colOff>
      <xdr:row>10</xdr:row>
      <xdr:rowOff>108922</xdr:rowOff>
    </xdr:to>
    <xdr:sp macro="" textlink="">
      <xdr:nvSpPr>
        <xdr:cNvPr id="2" name="Arrow: Right N3S1">
          <a:hlinkClick xmlns:r="http://schemas.openxmlformats.org/officeDocument/2006/relationships" r:id="rId7" tooltip="Forward: Incentive Input"/>
          <a:extLst>
            <a:ext uri="{FF2B5EF4-FFF2-40B4-BE49-F238E27FC236}">
              <a16:creationId xmlns:a16="http://schemas.microsoft.com/office/drawing/2014/main" id="{00000000-0008-0000-3200-000002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xdr:col>
      <xdr:colOff>212910</xdr:colOff>
      <xdr:row>8</xdr:row>
      <xdr:rowOff>100854</xdr:rowOff>
    </xdr:from>
    <xdr:to>
      <xdr:col>3</xdr:col>
      <xdr:colOff>112057</xdr:colOff>
      <xdr:row>10</xdr:row>
      <xdr:rowOff>108922</xdr:rowOff>
    </xdr:to>
    <xdr:sp macro="" textlink="">
      <xdr:nvSpPr>
        <xdr:cNvPr id="3" name="Arrow: Left N2S3">
          <a:hlinkClick xmlns:r="http://schemas.openxmlformats.org/officeDocument/2006/relationships" r:id="rId8" tooltip="Back: Customer &amp; Building Information"/>
          <a:extLst>
            <a:ext uri="{FF2B5EF4-FFF2-40B4-BE49-F238E27FC236}">
              <a16:creationId xmlns:a16="http://schemas.microsoft.com/office/drawing/2014/main" id="{00000000-0008-0000-3200-000003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0</xdr:colOff>
      <xdr:row>3</xdr:row>
      <xdr:rowOff>815</xdr:rowOff>
    </xdr:from>
    <xdr:to>
      <xdr:col>41</xdr:col>
      <xdr:colOff>223215</xdr:colOff>
      <xdr:row>8</xdr:row>
      <xdr:rowOff>0</xdr:rowOff>
    </xdr:to>
    <xdr:grpSp>
      <xdr:nvGrpSpPr>
        <xdr:cNvPr id="4" name="Navigation">
          <a:extLst>
            <a:ext uri="{FF2B5EF4-FFF2-40B4-BE49-F238E27FC236}">
              <a16:creationId xmlns:a16="http://schemas.microsoft.com/office/drawing/2014/main" id="{00000000-0008-0000-3200-000004000000}"/>
            </a:ext>
          </a:extLst>
        </xdr:cNvPr>
        <xdr:cNvGrpSpPr/>
      </xdr:nvGrpSpPr>
      <xdr:grpSpPr>
        <a:xfrm>
          <a:off x="1882588" y="605933"/>
          <a:ext cx="11204980" cy="1007714"/>
          <a:chOff x="1576553" y="592282"/>
          <a:chExt cx="11373937" cy="986117"/>
        </a:xfrm>
      </xdr:grpSpPr>
      <xdr:cxnSp macro="">
        <xdr:nvCxnSpPr>
          <xdr:cNvPr id="6" name="Reference">
            <a:extLst>
              <a:ext uri="{FF2B5EF4-FFF2-40B4-BE49-F238E27FC236}">
                <a16:creationId xmlns:a16="http://schemas.microsoft.com/office/drawing/2014/main" id="{00000000-0008-0000-3200-000006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7" name="7: Project Review">
            <a:hlinkClick xmlns:r="http://schemas.openxmlformats.org/officeDocument/2006/relationships" r:id="rId9" tooltip="Project Review"/>
            <a:extLst>
              <a:ext uri="{FF2B5EF4-FFF2-40B4-BE49-F238E27FC236}">
                <a16:creationId xmlns:a16="http://schemas.microsoft.com/office/drawing/2014/main" id="{00000000-0008-0000-3200-000007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8" name="6: Payment">
            <a:hlinkClick xmlns:r="http://schemas.openxmlformats.org/officeDocument/2006/relationships" r:id="rId10" tooltip="Payment"/>
            <a:extLst>
              <a:ext uri="{FF2B5EF4-FFF2-40B4-BE49-F238E27FC236}">
                <a16:creationId xmlns:a16="http://schemas.microsoft.com/office/drawing/2014/main" id="{00000000-0008-0000-3200-000008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9" name="5: Equipment Input">
            <a:hlinkClick xmlns:r="http://schemas.openxmlformats.org/officeDocument/2006/relationships" r:id="rId11" tooltip="Equipment Input"/>
            <a:extLst>
              <a:ext uri="{FF2B5EF4-FFF2-40B4-BE49-F238E27FC236}">
                <a16:creationId xmlns:a16="http://schemas.microsoft.com/office/drawing/2014/main" id="{00000000-0008-0000-3200-000009000000}"/>
              </a:ext>
            </a:extLst>
          </xdr:cNvPr>
          <xdr:cNvSpPr/>
        </xdr:nvSpPr>
        <xdr:spPr>
          <a:xfrm>
            <a:off x="7948506"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0" name="4: DTM">
            <a:hlinkClick xmlns:r="http://schemas.openxmlformats.org/officeDocument/2006/relationships" r:id="rId12" tooltip="Building Information"/>
            <a:extLst>
              <a:ext uri="{FF2B5EF4-FFF2-40B4-BE49-F238E27FC236}">
                <a16:creationId xmlns:a16="http://schemas.microsoft.com/office/drawing/2014/main" id="{00000000-0008-0000-3200-00000A000000}"/>
              </a:ext>
            </a:extLst>
          </xdr:cNvPr>
          <xdr:cNvSpPr/>
        </xdr:nvSpPr>
        <xdr:spPr>
          <a:xfrm>
            <a:off x="6355518"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11" name="3: Customer/Bldg Info">
            <a:hlinkClick xmlns:r="http://schemas.openxmlformats.org/officeDocument/2006/relationships" r:id="rId8" tooltip="Customer Information"/>
            <a:extLst>
              <a:ext uri="{FF2B5EF4-FFF2-40B4-BE49-F238E27FC236}">
                <a16:creationId xmlns:a16="http://schemas.microsoft.com/office/drawing/2014/main" id="{00000000-0008-0000-3200-00000B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12" name="2: Design Team">
            <a:hlinkClick xmlns:r="http://schemas.openxmlformats.org/officeDocument/2006/relationships" r:id="rId13" tooltip="Trade Ally/Vendor Information"/>
            <a:extLst>
              <a:ext uri="{FF2B5EF4-FFF2-40B4-BE49-F238E27FC236}">
                <a16:creationId xmlns:a16="http://schemas.microsoft.com/office/drawing/2014/main" id="{00000000-0008-0000-3200-00000C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13" name="1: T&amp;C's">
            <a:hlinkClick xmlns:r="http://schemas.openxmlformats.org/officeDocument/2006/relationships" r:id="rId14" tooltip="Terms &amp; Conditions"/>
            <a:extLst>
              <a:ext uri="{FF2B5EF4-FFF2-40B4-BE49-F238E27FC236}">
                <a16:creationId xmlns:a16="http://schemas.microsoft.com/office/drawing/2014/main" id="{00000000-0008-0000-3200-00000D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5" name="Header">
          <a:extLst>
            <a:ext uri="{FF2B5EF4-FFF2-40B4-BE49-F238E27FC236}">
              <a16:creationId xmlns:a16="http://schemas.microsoft.com/office/drawing/2014/main" id="{00000000-0008-0000-3200-000019000000}"/>
            </a:ext>
          </a:extLst>
        </xdr:cNvPr>
        <xdr:cNvGrpSpPr/>
      </xdr:nvGrpSpPr>
      <xdr:grpSpPr>
        <a:xfrm>
          <a:off x="0" y="0"/>
          <a:ext cx="15374471" cy="605118"/>
          <a:chOff x="0" y="0"/>
          <a:chExt cx="15822705" cy="591825"/>
        </a:xfrm>
      </xdr:grpSpPr>
      <xdr:grpSp>
        <xdr:nvGrpSpPr>
          <xdr:cNvPr id="26" name="Header">
            <a:extLst>
              <a:ext uri="{FF2B5EF4-FFF2-40B4-BE49-F238E27FC236}">
                <a16:creationId xmlns:a16="http://schemas.microsoft.com/office/drawing/2014/main" id="{00000000-0008-0000-3200-00001A000000}"/>
              </a:ext>
            </a:extLst>
          </xdr:cNvPr>
          <xdr:cNvGrpSpPr/>
        </xdr:nvGrpSpPr>
        <xdr:grpSpPr>
          <a:xfrm>
            <a:off x="0" y="0"/>
            <a:ext cx="15822705" cy="591825"/>
            <a:chOff x="0" y="0"/>
            <a:chExt cx="15822705" cy="591825"/>
          </a:xfrm>
        </xdr:grpSpPr>
        <xdr:sp macro="" textlink="">
          <xdr:nvSpPr>
            <xdr:cNvPr id="32" name="Reference">
              <a:extLst>
                <a:ext uri="{FF2B5EF4-FFF2-40B4-BE49-F238E27FC236}">
                  <a16:creationId xmlns:a16="http://schemas.microsoft.com/office/drawing/2014/main" id="{00000000-0008-0000-3200-000020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ntact">
              <a:hlinkClick xmlns:r="http://schemas.openxmlformats.org/officeDocument/2006/relationships" r:id="rId15" tooltip="Contact"/>
              <a:extLst>
                <a:ext uri="{FF2B5EF4-FFF2-40B4-BE49-F238E27FC236}">
                  <a16:creationId xmlns:a16="http://schemas.microsoft.com/office/drawing/2014/main" id="{00000000-0008-0000-3200-000026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mpletion">
              <a:hlinkClick xmlns:r="http://schemas.openxmlformats.org/officeDocument/2006/relationships" r:id="rId16" tooltip=" "/>
              <a:extLst>
                <a:ext uri="{FF2B5EF4-FFF2-40B4-BE49-F238E27FC236}">
                  <a16:creationId xmlns:a16="http://schemas.microsoft.com/office/drawing/2014/main" id="{00000000-0008-0000-3200-000027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Offer">
              <a:hlinkClick xmlns:r="http://schemas.openxmlformats.org/officeDocument/2006/relationships" r:id="rId17" tooltip=" "/>
              <a:extLst>
                <a:ext uri="{FF2B5EF4-FFF2-40B4-BE49-F238E27FC236}">
                  <a16:creationId xmlns:a16="http://schemas.microsoft.com/office/drawing/2014/main" id="{00000000-0008-0000-3200-000028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Instructions">
              <a:hlinkClick xmlns:r="http://schemas.openxmlformats.org/officeDocument/2006/relationships" r:id="rId18" tooltip="Instructions"/>
              <a:extLst>
                <a:ext uri="{FF2B5EF4-FFF2-40B4-BE49-F238E27FC236}">
                  <a16:creationId xmlns:a16="http://schemas.microsoft.com/office/drawing/2014/main" id="{00000000-0008-0000-3200-00002A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Welcome">
              <a:hlinkClick xmlns:r="http://schemas.openxmlformats.org/officeDocument/2006/relationships" r:id="rId19" tooltip="Welcome"/>
              <a:extLst>
                <a:ext uri="{FF2B5EF4-FFF2-40B4-BE49-F238E27FC236}">
                  <a16:creationId xmlns:a16="http://schemas.microsoft.com/office/drawing/2014/main" id="{00000000-0008-0000-3200-00002B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 name="Evergy Logo">
              <a:extLst>
                <a:ext uri="{FF2B5EF4-FFF2-40B4-BE49-F238E27FC236}">
                  <a16:creationId xmlns:a16="http://schemas.microsoft.com/office/drawing/2014/main" id="{00000000-0008-0000-3200-00002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27" name="Dividers">
            <a:extLst>
              <a:ext uri="{FF2B5EF4-FFF2-40B4-BE49-F238E27FC236}">
                <a16:creationId xmlns:a16="http://schemas.microsoft.com/office/drawing/2014/main" id="{00000000-0008-0000-3200-00001B000000}"/>
              </a:ext>
            </a:extLst>
          </xdr:cNvPr>
          <xdr:cNvGrpSpPr/>
        </xdr:nvGrpSpPr>
        <xdr:grpSpPr>
          <a:xfrm>
            <a:off x="1615312" y="85571"/>
            <a:ext cx="12926000" cy="423176"/>
            <a:chOff x="1615312" y="85571"/>
            <a:chExt cx="12926000" cy="423176"/>
          </a:xfrm>
        </xdr:grpSpPr>
        <xdr:cxnSp macro="">
          <xdr:nvCxnSpPr>
            <xdr:cNvPr id="28" name="Divider 4">
              <a:extLst>
                <a:ext uri="{FF2B5EF4-FFF2-40B4-BE49-F238E27FC236}">
                  <a16:creationId xmlns:a16="http://schemas.microsoft.com/office/drawing/2014/main" id="{00000000-0008-0000-3200-00001C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32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3200-00001E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3200-00001F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42</xdr:col>
      <xdr:colOff>67234</xdr:colOff>
      <xdr:row>33</xdr:row>
      <xdr:rowOff>22404</xdr:rowOff>
    </xdr:from>
    <xdr:to>
      <xdr:col>44</xdr:col>
      <xdr:colOff>313764</xdr:colOff>
      <xdr:row>36</xdr:row>
      <xdr:rowOff>179290</xdr:rowOff>
    </xdr:to>
    <xdr:grpSp>
      <xdr:nvGrpSpPr>
        <xdr:cNvPr id="47" name="Handbook">
          <a:hlinkClick xmlns:r="http://schemas.openxmlformats.org/officeDocument/2006/relationships" r:id="rId1" tooltip="New Construction Handbook"/>
          <a:extLst>
            <a:ext uri="{FF2B5EF4-FFF2-40B4-BE49-F238E27FC236}">
              <a16:creationId xmlns:a16="http://schemas.microsoft.com/office/drawing/2014/main" id="{00000000-0008-0000-3300-00002F000000}"/>
            </a:ext>
          </a:extLst>
        </xdr:cNvPr>
        <xdr:cNvGrpSpPr/>
      </xdr:nvGrpSpPr>
      <xdr:grpSpPr>
        <a:xfrm>
          <a:off x="13245352" y="6678698"/>
          <a:ext cx="874059" cy="762004"/>
          <a:chOff x="13402233" y="7700111"/>
          <a:chExt cx="874059" cy="671018"/>
        </a:xfrm>
      </xdr:grpSpPr>
      <xdr:pic>
        <xdr:nvPicPr>
          <xdr:cNvPr id="48" name="Logo" descr="Open book">
            <a:extLst>
              <a:ext uri="{FF2B5EF4-FFF2-40B4-BE49-F238E27FC236}">
                <a16:creationId xmlns:a16="http://schemas.microsoft.com/office/drawing/2014/main" id="{00000000-0008-0000-3300-00003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594974" y="7700111"/>
            <a:ext cx="488576" cy="488576"/>
          </a:xfrm>
          <a:prstGeom prst="rect">
            <a:avLst/>
          </a:prstGeom>
        </xdr:spPr>
      </xdr:pic>
      <xdr:sp macro="" textlink="">
        <xdr:nvSpPr>
          <xdr:cNvPr id="49" name="Text">
            <a:hlinkClick xmlns:r="http://schemas.openxmlformats.org/officeDocument/2006/relationships" r:id="rId4" tooltip="New Construction Handbook"/>
            <a:extLst>
              <a:ext uri="{FF2B5EF4-FFF2-40B4-BE49-F238E27FC236}">
                <a16:creationId xmlns:a16="http://schemas.microsoft.com/office/drawing/2014/main" id="{00000000-0008-0000-3300-000031000000}"/>
              </a:ext>
            </a:extLst>
          </xdr:cNvPr>
          <xdr:cNvSpPr txBox="1"/>
        </xdr:nvSpPr>
        <xdr:spPr>
          <a:xfrm>
            <a:off x="13402233" y="8144169"/>
            <a:ext cx="874059" cy="2269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tx1">
                    <a:lumMod val="75000"/>
                    <a:lumOff val="25000"/>
                  </a:schemeClr>
                </a:solidFill>
                <a:latin typeface="Arial" panose="020B0604020202020204" pitchFamily="34" charset="0"/>
                <a:cs typeface="Arial" panose="020B0604020202020204" pitchFamily="34" charset="0"/>
              </a:rPr>
              <a:t>Handbook</a:t>
            </a:r>
          </a:p>
        </xdr:txBody>
      </xdr:sp>
    </xdr:grpSp>
    <xdr:clientData/>
  </xdr:twoCellAnchor>
  <xdr:twoCellAnchor editAs="oneCell">
    <xdr:from>
      <xdr:col>28</xdr:col>
      <xdr:colOff>11338</xdr:colOff>
      <xdr:row>25</xdr:row>
      <xdr:rowOff>0</xdr:rowOff>
    </xdr:from>
    <xdr:to>
      <xdr:col>37</xdr:col>
      <xdr:colOff>108</xdr:colOff>
      <xdr:row>36</xdr:row>
      <xdr:rowOff>12326</xdr:rowOff>
    </xdr:to>
    <xdr:grpSp>
      <xdr:nvGrpSpPr>
        <xdr:cNvPr id="43" name="WBP_Inactive">
          <a:extLst>
            <a:ext uri="{FF2B5EF4-FFF2-40B4-BE49-F238E27FC236}">
              <a16:creationId xmlns:a16="http://schemas.microsoft.com/office/drawing/2014/main" id="{00000000-0008-0000-3300-00002B000000}"/>
            </a:ext>
          </a:extLst>
        </xdr:cNvPr>
        <xdr:cNvGrpSpPr/>
      </xdr:nvGrpSpPr>
      <xdr:grpSpPr>
        <a:xfrm>
          <a:off x="8796750" y="5042647"/>
          <a:ext cx="2812652" cy="2231091"/>
          <a:chOff x="9930676" y="2666998"/>
          <a:chExt cx="2803689" cy="2235573"/>
        </a:xfrm>
        <a:solidFill>
          <a:schemeClr val="bg1"/>
        </a:solidFill>
      </xdr:grpSpPr>
      <xdr:pic>
        <xdr:nvPicPr>
          <xdr:cNvPr id="44" name="Logo">
            <a:extLst>
              <a:ext uri="{FF2B5EF4-FFF2-40B4-BE49-F238E27FC236}">
                <a16:creationId xmlns:a16="http://schemas.microsoft.com/office/drawing/2014/main" id="{00000000-0008-0000-3300-00002C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tretch>
            <a:fillRect/>
          </a:stretch>
        </xdr:blipFill>
        <xdr:spPr>
          <a:xfrm>
            <a:off x="10434312" y="2666998"/>
            <a:ext cx="1831852" cy="1831852"/>
          </a:xfrm>
          <a:prstGeom prst="rect">
            <a:avLst/>
          </a:prstGeom>
          <a:grpFill/>
        </xdr:spPr>
      </xdr:pic>
      <xdr:sp macro="" textlink="">
        <xdr:nvSpPr>
          <xdr:cNvPr id="45" name="Text">
            <a:extLst>
              <a:ext uri="{FF2B5EF4-FFF2-40B4-BE49-F238E27FC236}">
                <a16:creationId xmlns:a16="http://schemas.microsoft.com/office/drawing/2014/main" id="{00000000-0008-0000-3300-00002D000000}"/>
              </a:ext>
            </a:extLst>
          </xdr:cNvPr>
          <xdr:cNvSpPr/>
        </xdr:nvSpPr>
        <xdr:spPr>
          <a:xfrm>
            <a:off x="9930676" y="4217894"/>
            <a:ext cx="2803689" cy="684677"/>
          </a:xfrm>
          <a:prstGeom prst="rect">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lumMod val="85000"/>
                  </a:schemeClr>
                </a:solidFill>
                <a:latin typeface="Arial" panose="020B0604020202020204" pitchFamily="34" charset="0"/>
                <a:cs typeface="Arial" panose="020B0604020202020204" pitchFamily="34" charset="0"/>
              </a:rPr>
              <a:t>Whole</a:t>
            </a:r>
            <a:r>
              <a:rPr lang="en-US" sz="1200" b="1" baseline="0">
                <a:solidFill>
                  <a:schemeClr val="bg1">
                    <a:lumMod val="85000"/>
                  </a:schemeClr>
                </a:solidFill>
                <a:latin typeface="Arial" panose="020B0604020202020204" pitchFamily="34" charset="0"/>
                <a:cs typeface="Arial" panose="020B0604020202020204" pitchFamily="34" charset="0"/>
              </a:rPr>
              <a:t> Building Performance</a:t>
            </a:r>
            <a:r>
              <a:rPr lang="en-US" sz="1200" b="1">
                <a:solidFill>
                  <a:schemeClr val="bg1">
                    <a:lumMod val="85000"/>
                  </a:schemeClr>
                </a:solidFill>
                <a:latin typeface="Arial" panose="020B0604020202020204" pitchFamily="34" charset="0"/>
                <a:cs typeface="Arial" panose="020B0604020202020204" pitchFamily="34" charset="0"/>
              </a:rPr>
              <a:t> Incentive (Not Eligible)</a:t>
            </a:r>
          </a:p>
        </xdr:txBody>
      </xdr:sp>
    </xdr:grpSp>
    <xdr:clientData/>
  </xdr:twoCellAnchor>
  <xdr:twoCellAnchor editAs="oneCell">
    <xdr:from>
      <xdr:col>12</xdr:col>
      <xdr:colOff>134471</xdr:colOff>
      <xdr:row>24</xdr:row>
      <xdr:rowOff>84045</xdr:rowOff>
    </xdr:from>
    <xdr:to>
      <xdr:col>18</xdr:col>
      <xdr:colOff>172122</xdr:colOff>
      <xdr:row>35</xdr:row>
      <xdr:rowOff>0</xdr:rowOff>
    </xdr:to>
    <xdr:grpSp>
      <xdr:nvGrpSpPr>
        <xdr:cNvPr id="40" name="Standard">
          <a:extLst>
            <a:ext uri="{FF2B5EF4-FFF2-40B4-BE49-F238E27FC236}">
              <a16:creationId xmlns:a16="http://schemas.microsoft.com/office/drawing/2014/main" id="{00000000-0008-0000-3300-000028000000}"/>
            </a:ext>
          </a:extLst>
        </xdr:cNvPr>
        <xdr:cNvGrpSpPr/>
      </xdr:nvGrpSpPr>
      <xdr:grpSpPr>
        <a:xfrm>
          <a:off x="3899647" y="4924986"/>
          <a:ext cx="1920240" cy="2134720"/>
          <a:chOff x="4635514" y="2666998"/>
          <a:chExt cx="1920240" cy="2134720"/>
        </a:xfrm>
      </xdr:grpSpPr>
      <xdr:pic>
        <xdr:nvPicPr>
          <xdr:cNvPr id="9" name="Logo">
            <a:hlinkClick xmlns:r="http://schemas.openxmlformats.org/officeDocument/2006/relationships" r:id="rId7" tooltip="Standard Incentives"/>
            <a:extLst>
              <a:ext uri="{FF2B5EF4-FFF2-40B4-BE49-F238E27FC236}">
                <a16:creationId xmlns:a16="http://schemas.microsoft.com/office/drawing/2014/main" id="{00000000-0008-0000-33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81232" y="2666998"/>
            <a:ext cx="1828804" cy="1831852"/>
          </a:xfrm>
          <a:prstGeom prst="rect">
            <a:avLst/>
          </a:prstGeom>
        </xdr:spPr>
      </xdr:pic>
      <xdr:sp macro="" textlink="">
        <xdr:nvSpPr>
          <xdr:cNvPr id="36" name="Text">
            <a:hlinkClick xmlns:r="http://schemas.openxmlformats.org/officeDocument/2006/relationships" r:id="rId7" tooltip="Standard Incentives"/>
            <a:extLst>
              <a:ext uri="{FF2B5EF4-FFF2-40B4-BE49-F238E27FC236}">
                <a16:creationId xmlns:a16="http://schemas.microsoft.com/office/drawing/2014/main" id="{00000000-0008-0000-3300-000024000000}"/>
              </a:ext>
            </a:extLst>
          </xdr:cNvPr>
          <xdr:cNvSpPr/>
        </xdr:nvSpPr>
        <xdr:spPr>
          <a:xfrm>
            <a:off x="4635514" y="4344518"/>
            <a:ext cx="1920240" cy="4572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lumMod val="75000"/>
                    <a:lumOff val="25000"/>
                  </a:schemeClr>
                </a:solidFill>
                <a:latin typeface="Arial" panose="020B0604020202020204" pitchFamily="34" charset="0"/>
                <a:cs typeface="Arial" panose="020B0604020202020204" pitchFamily="34" charset="0"/>
              </a:rPr>
              <a:t>Standard Incentives</a:t>
            </a:r>
          </a:p>
        </xdr:txBody>
      </xdr:sp>
    </xdr:grpSp>
    <xdr:clientData/>
  </xdr:twoCellAnchor>
  <xdr:twoCellAnchor editAs="oneCell">
    <xdr:from>
      <xdr:col>11</xdr:col>
      <xdr:colOff>134470</xdr:colOff>
      <xdr:row>25</xdr:row>
      <xdr:rowOff>0</xdr:rowOff>
    </xdr:from>
    <xdr:to>
      <xdr:col>17</xdr:col>
      <xdr:colOff>172121</xdr:colOff>
      <xdr:row>35</xdr:row>
      <xdr:rowOff>117661</xdr:rowOff>
    </xdr:to>
    <xdr:grpSp>
      <xdr:nvGrpSpPr>
        <xdr:cNvPr id="39" name="Interior Lighting" hidden="1">
          <a:extLst>
            <a:ext uri="{FF2B5EF4-FFF2-40B4-BE49-F238E27FC236}">
              <a16:creationId xmlns:a16="http://schemas.microsoft.com/office/drawing/2014/main" id="{00000000-0008-0000-3300-000027000000}"/>
            </a:ext>
          </a:extLst>
        </xdr:cNvPr>
        <xdr:cNvGrpSpPr/>
      </xdr:nvGrpSpPr>
      <xdr:grpSpPr>
        <a:xfrm>
          <a:off x="3585882" y="5042647"/>
          <a:ext cx="1920239" cy="2134720"/>
          <a:chOff x="1977482" y="2666998"/>
          <a:chExt cx="1920240" cy="2134720"/>
        </a:xfrm>
      </xdr:grpSpPr>
      <xdr:pic>
        <xdr:nvPicPr>
          <xdr:cNvPr id="7" name="Logo">
            <a:hlinkClick xmlns:r="http://schemas.openxmlformats.org/officeDocument/2006/relationships" r:id="rId9" tooltip="Interior Lighting Incentive"/>
            <a:extLst>
              <a:ext uri="{FF2B5EF4-FFF2-40B4-BE49-F238E27FC236}">
                <a16:creationId xmlns:a16="http://schemas.microsoft.com/office/drawing/2014/main" id="{00000000-0008-0000-3300-00000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23200" y="2666998"/>
            <a:ext cx="1828804" cy="1828804"/>
          </a:xfrm>
          <a:prstGeom prst="rect">
            <a:avLst/>
          </a:prstGeom>
        </xdr:spPr>
      </xdr:pic>
      <xdr:sp macro="" textlink="">
        <xdr:nvSpPr>
          <xdr:cNvPr id="37" name="Text">
            <a:hlinkClick xmlns:r="http://schemas.openxmlformats.org/officeDocument/2006/relationships" r:id="rId9" tooltip="Interior Lighting Incentive"/>
            <a:extLst>
              <a:ext uri="{FF2B5EF4-FFF2-40B4-BE49-F238E27FC236}">
                <a16:creationId xmlns:a16="http://schemas.microsoft.com/office/drawing/2014/main" id="{00000000-0008-0000-3300-000025000000}"/>
              </a:ext>
            </a:extLst>
          </xdr:cNvPr>
          <xdr:cNvSpPr/>
        </xdr:nvSpPr>
        <xdr:spPr>
          <a:xfrm>
            <a:off x="1977482" y="4344518"/>
            <a:ext cx="1920240" cy="4572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lumMod val="75000"/>
                    <a:lumOff val="25000"/>
                  </a:schemeClr>
                </a:solidFill>
                <a:latin typeface="Arial" panose="020B0604020202020204" pitchFamily="34" charset="0"/>
                <a:cs typeface="Arial" panose="020B0604020202020204" pitchFamily="34" charset="0"/>
              </a:rPr>
              <a:t>Interior</a:t>
            </a:r>
            <a:r>
              <a:rPr lang="en-US" sz="1200" b="1" baseline="0">
                <a:solidFill>
                  <a:schemeClr val="tx1">
                    <a:lumMod val="75000"/>
                    <a:lumOff val="25000"/>
                  </a:schemeClr>
                </a:solidFill>
                <a:latin typeface="Arial" panose="020B0604020202020204" pitchFamily="34" charset="0"/>
                <a:cs typeface="Arial" panose="020B0604020202020204" pitchFamily="34" charset="0"/>
              </a:rPr>
              <a:t> Lighting</a:t>
            </a:r>
            <a:r>
              <a:rPr lang="en-US" sz="1200" b="1">
                <a:solidFill>
                  <a:schemeClr val="tx1">
                    <a:lumMod val="75000"/>
                    <a:lumOff val="25000"/>
                  </a:schemeClr>
                </a:solidFill>
                <a:latin typeface="Arial" panose="020B0604020202020204" pitchFamily="34" charset="0"/>
                <a:cs typeface="Arial" panose="020B0604020202020204" pitchFamily="34" charset="0"/>
              </a:rPr>
              <a:t> Incentive</a:t>
            </a:r>
          </a:p>
        </xdr:txBody>
      </xdr:sp>
    </xdr:grpSp>
    <xdr:clientData/>
  </xdr:twoCellAnchor>
  <xdr:twoCellAnchor editAs="oneCell">
    <xdr:from>
      <xdr:col>20</xdr:col>
      <xdr:colOff>114135</xdr:colOff>
      <xdr:row>12</xdr:row>
      <xdr:rowOff>190498</xdr:rowOff>
    </xdr:from>
    <xdr:to>
      <xdr:col>26</xdr:col>
      <xdr:colOff>151785</xdr:colOff>
      <xdr:row>23</xdr:row>
      <xdr:rowOff>106454</xdr:rowOff>
    </xdr:to>
    <xdr:grpSp>
      <xdr:nvGrpSpPr>
        <xdr:cNvPr id="41" name="Custom">
          <a:extLst>
            <a:ext uri="{FF2B5EF4-FFF2-40B4-BE49-F238E27FC236}">
              <a16:creationId xmlns:a16="http://schemas.microsoft.com/office/drawing/2014/main" id="{00000000-0008-0000-3300-000029000000}"/>
            </a:ext>
          </a:extLst>
        </xdr:cNvPr>
        <xdr:cNvGrpSpPr/>
      </xdr:nvGrpSpPr>
      <xdr:grpSpPr>
        <a:xfrm>
          <a:off x="6389429" y="2610969"/>
          <a:ext cx="1920238" cy="2134720"/>
          <a:chOff x="7353145" y="2666998"/>
          <a:chExt cx="1920240" cy="2134720"/>
        </a:xfrm>
      </xdr:grpSpPr>
      <xdr:pic>
        <xdr:nvPicPr>
          <xdr:cNvPr id="11" name="Logo">
            <a:hlinkClick xmlns:r="http://schemas.openxmlformats.org/officeDocument/2006/relationships" r:id="rId11" tooltip="Custom Incentives"/>
            <a:extLst>
              <a:ext uri="{FF2B5EF4-FFF2-40B4-BE49-F238E27FC236}">
                <a16:creationId xmlns:a16="http://schemas.microsoft.com/office/drawing/2014/main" id="{00000000-0008-0000-3300-00000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97339" y="2666998"/>
            <a:ext cx="1831852" cy="1831852"/>
          </a:xfrm>
          <a:prstGeom prst="rect">
            <a:avLst/>
          </a:prstGeom>
        </xdr:spPr>
      </xdr:pic>
      <xdr:sp macro="" textlink="">
        <xdr:nvSpPr>
          <xdr:cNvPr id="2" name="Text">
            <a:hlinkClick xmlns:r="http://schemas.openxmlformats.org/officeDocument/2006/relationships" r:id="rId11" tooltip="Custom Incentives"/>
            <a:extLst>
              <a:ext uri="{FF2B5EF4-FFF2-40B4-BE49-F238E27FC236}">
                <a16:creationId xmlns:a16="http://schemas.microsoft.com/office/drawing/2014/main" id="{00000000-0008-0000-3300-000002000000}"/>
              </a:ext>
            </a:extLst>
          </xdr:cNvPr>
          <xdr:cNvSpPr/>
        </xdr:nvSpPr>
        <xdr:spPr>
          <a:xfrm>
            <a:off x="7353145" y="4344518"/>
            <a:ext cx="1920240" cy="4572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lumMod val="75000"/>
                    <a:lumOff val="25000"/>
                  </a:schemeClr>
                </a:solidFill>
                <a:latin typeface="Arial" panose="020B0604020202020204" pitchFamily="34" charset="0"/>
                <a:cs typeface="Arial" panose="020B0604020202020204" pitchFamily="34" charset="0"/>
              </a:rPr>
              <a:t>Custom Incentives</a:t>
            </a:r>
            <a:br>
              <a:rPr lang="en-US" sz="1200" b="1">
                <a:solidFill>
                  <a:schemeClr val="tx1">
                    <a:lumMod val="75000"/>
                    <a:lumOff val="25000"/>
                  </a:schemeClr>
                </a:solidFill>
                <a:latin typeface="Arial" panose="020B0604020202020204" pitchFamily="34" charset="0"/>
                <a:cs typeface="Arial" panose="020B0604020202020204" pitchFamily="34" charset="0"/>
              </a:rPr>
            </a:br>
            <a:r>
              <a:rPr lang="en-US" sz="1100" b="1">
                <a:solidFill>
                  <a:srgbClr val="FF0000"/>
                </a:solidFill>
                <a:latin typeface="Arial" panose="020B0604020202020204" pitchFamily="34" charset="0"/>
                <a:cs typeface="Arial" panose="020B0604020202020204" pitchFamily="34" charset="0"/>
              </a:rPr>
              <a:t>Pre-Approval Required</a:t>
            </a:r>
            <a:endParaRPr lang="en-US" sz="1200" b="1">
              <a:solidFill>
                <a:srgbClr val="FF0000"/>
              </a:solidFill>
              <a:latin typeface="Arial" panose="020B0604020202020204" pitchFamily="34" charset="0"/>
              <a:cs typeface="Arial" panose="020B0604020202020204" pitchFamily="34" charset="0"/>
            </a:endParaRPr>
          </a:p>
        </xdr:txBody>
      </xdr:sp>
    </xdr:grpSp>
    <xdr:clientData/>
  </xdr:twoCellAnchor>
  <xdr:twoCellAnchor editAs="oneCell">
    <xdr:from>
      <xdr:col>42</xdr:col>
      <xdr:colOff>145676</xdr:colOff>
      <xdr:row>8</xdr:row>
      <xdr:rowOff>100854</xdr:rowOff>
    </xdr:from>
    <xdr:to>
      <xdr:col>44</xdr:col>
      <xdr:colOff>48499</xdr:colOff>
      <xdr:row>10</xdr:row>
      <xdr:rowOff>108922</xdr:rowOff>
    </xdr:to>
    <xdr:sp macro="" textlink="">
      <xdr:nvSpPr>
        <xdr:cNvPr id="21" name="Arrow: Right N3S2">
          <a:hlinkClick xmlns:r="http://schemas.openxmlformats.org/officeDocument/2006/relationships" r:id="rId13" tooltip="Forward: Payment"/>
          <a:extLst>
            <a:ext uri="{FF2B5EF4-FFF2-40B4-BE49-F238E27FC236}">
              <a16:creationId xmlns:a16="http://schemas.microsoft.com/office/drawing/2014/main" id="{00000000-0008-0000-3300-000015000000}"/>
            </a:ext>
          </a:extLst>
        </xdr:cNvPr>
        <xdr:cNvSpPr/>
      </xdr:nvSpPr>
      <xdr:spPr>
        <a:xfrm>
          <a:off x="13347326" y="1701054"/>
          <a:ext cx="531473" cy="408118"/>
        </a:xfrm>
        <a:prstGeom prst="righ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22" name="Arrow: Left N2S4">
          <a:hlinkClick xmlns:r="http://schemas.openxmlformats.org/officeDocument/2006/relationships" r:id="rId14" tooltip="Back: Building Information"/>
          <a:extLst>
            <a:ext uri="{FF2B5EF4-FFF2-40B4-BE49-F238E27FC236}">
              <a16:creationId xmlns:a16="http://schemas.microsoft.com/office/drawing/2014/main" id="{00000000-0008-0000-3300-000016000000}"/>
            </a:ext>
          </a:extLst>
        </xdr:cNvPr>
        <xdr:cNvSpPr/>
      </xdr:nvSpPr>
      <xdr:spPr>
        <a:xfrm>
          <a:off x="527235" y="1701054"/>
          <a:ext cx="527797" cy="408118"/>
        </a:xfrm>
        <a:prstGeom prst="leftArrow">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0</xdr:colOff>
      <xdr:row>3</xdr:row>
      <xdr:rowOff>815</xdr:rowOff>
    </xdr:from>
    <xdr:to>
      <xdr:col>41</xdr:col>
      <xdr:colOff>223215</xdr:colOff>
      <xdr:row>8</xdr:row>
      <xdr:rowOff>0</xdr:rowOff>
    </xdr:to>
    <xdr:grpSp>
      <xdr:nvGrpSpPr>
        <xdr:cNvPr id="5" name="Navigation">
          <a:extLst>
            <a:ext uri="{FF2B5EF4-FFF2-40B4-BE49-F238E27FC236}">
              <a16:creationId xmlns:a16="http://schemas.microsoft.com/office/drawing/2014/main" id="{00000000-0008-0000-3300-000005000000}"/>
            </a:ext>
          </a:extLst>
        </xdr:cNvPr>
        <xdr:cNvGrpSpPr/>
      </xdr:nvGrpSpPr>
      <xdr:grpSpPr>
        <a:xfrm>
          <a:off x="1882588" y="605933"/>
          <a:ext cx="11204980" cy="1007714"/>
          <a:chOff x="1576553" y="592282"/>
          <a:chExt cx="11373937" cy="986117"/>
        </a:xfrm>
      </xdr:grpSpPr>
      <xdr:cxnSp macro="">
        <xdr:nvCxnSpPr>
          <xdr:cNvPr id="6" name="Reference">
            <a:extLst>
              <a:ext uri="{FF2B5EF4-FFF2-40B4-BE49-F238E27FC236}">
                <a16:creationId xmlns:a16="http://schemas.microsoft.com/office/drawing/2014/main" id="{00000000-0008-0000-3300-000006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8" name="7: Project Review">
            <a:hlinkClick xmlns:r="http://schemas.openxmlformats.org/officeDocument/2006/relationships" r:id="rId15" tooltip="Project Review"/>
            <a:extLst>
              <a:ext uri="{FF2B5EF4-FFF2-40B4-BE49-F238E27FC236}">
                <a16:creationId xmlns:a16="http://schemas.microsoft.com/office/drawing/2014/main" id="{00000000-0008-0000-3300-000008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0" name="6: Payment">
            <a:hlinkClick xmlns:r="http://schemas.openxmlformats.org/officeDocument/2006/relationships" r:id="rId13" tooltip="Payment"/>
            <a:extLst>
              <a:ext uri="{FF2B5EF4-FFF2-40B4-BE49-F238E27FC236}">
                <a16:creationId xmlns:a16="http://schemas.microsoft.com/office/drawing/2014/main" id="{00000000-0008-0000-3300-00000A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4" name="5: Equipment Input">
            <a:hlinkClick xmlns:r="http://schemas.openxmlformats.org/officeDocument/2006/relationships" r:id="rId16" tooltip="Equipment Input"/>
            <a:extLst>
              <a:ext uri="{FF2B5EF4-FFF2-40B4-BE49-F238E27FC236}">
                <a16:creationId xmlns:a16="http://schemas.microsoft.com/office/drawing/2014/main" id="{00000000-0008-0000-3300-00000E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17" name="4: DTM">
            <a:hlinkClick xmlns:r="http://schemas.openxmlformats.org/officeDocument/2006/relationships" r:id="rId17" tooltip="Building Information"/>
            <a:extLst>
              <a:ext uri="{FF2B5EF4-FFF2-40B4-BE49-F238E27FC236}">
                <a16:creationId xmlns:a16="http://schemas.microsoft.com/office/drawing/2014/main" id="{00000000-0008-0000-3300-000011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24" name="3: Customer/Bldg Info">
            <a:hlinkClick xmlns:r="http://schemas.openxmlformats.org/officeDocument/2006/relationships" r:id="rId18" tooltip="Customer Information"/>
            <a:extLst>
              <a:ext uri="{FF2B5EF4-FFF2-40B4-BE49-F238E27FC236}">
                <a16:creationId xmlns:a16="http://schemas.microsoft.com/office/drawing/2014/main" id="{00000000-0008-0000-3300-000018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25" name="2: Design Team">
            <a:hlinkClick xmlns:r="http://schemas.openxmlformats.org/officeDocument/2006/relationships" r:id="rId19" tooltip="Trade Ally/Vendor Information"/>
            <a:extLst>
              <a:ext uri="{FF2B5EF4-FFF2-40B4-BE49-F238E27FC236}">
                <a16:creationId xmlns:a16="http://schemas.microsoft.com/office/drawing/2014/main" id="{00000000-0008-0000-3300-000019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26" name="1: T&amp;C's">
            <a:hlinkClick xmlns:r="http://schemas.openxmlformats.org/officeDocument/2006/relationships" r:id="rId20" tooltip="Terms &amp; Conditions"/>
            <a:extLst>
              <a:ext uri="{FF2B5EF4-FFF2-40B4-BE49-F238E27FC236}">
                <a16:creationId xmlns:a16="http://schemas.microsoft.com/office/drawing/2014/main" id="{00000000-0008-0000-3300-00001A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3" name="Header">
          <a:extLst>
            <a:ext uri="{FF2B5EF4-FFF2-40B4-BE49-F238E27FC236}">
              <a16:creationId xmlns:a16="http://schemas.microsoft.com/office/drawing/2014/main" id="{00000000-0008-0000-3300-000003000000}"/>
            </a:ext>
          </a:extLst>
        </xdr:cNvPr>
        <xdr:cNvGrpSpPr/>
      </xdr:nvGrpSpPr>
      <xdr:grpSpPr>
        <a:xfrm>
          <a:off x="0" y="0"/>
          <a:ext cx="15374471" cy="605118"/>
          <a:chOff x="0" y="0"/>
          <a:chExt cx="15822705" cy="591825"/>
        </a:xfrm>
      </xdr:grpSpPr>
      <xdr:grpSp>
        <xdr:nvGrpSpPr>
          <xdr:cNvPr id="12" name="Header">
            <a:extLst>
              <a:ext uri="{FF2B5EF4-FFF2-40B4-BE49-F238E27FC236}">
                <a16:creationId xmlns:a16="http://schemas.microsoft.com/office/drawing/2014/main" id="{00000000-0008-0000-3300-00000C000000}"/>
              </a:ext>
            </a:extLst>
          </xdr:cNvPr>
          <xdr:cNvGrpSpPr/>
        </xdr:nvGrpSpPr>
        <xdr:grpSpPr>
          <a:xfrm>
            <a:off x="0" y="0"/>
            <a:ext cx="15822705" cy="591825"/>
            <a:chOff x="0" y="0"/>
            <a:chExt cx="15822705" cy="591825"/>
          </a:xfrm>
        </xdr:grpSpPr>
        <xdr:sp macro="" textlink="">
          <xdr:nvSpPr>
            <xdr:cNvPr id="23" name="Reference">
              <a:extLst>
                <a:ext uri="{FF2B5EF4-FFF2-40B4-BE49-F238E27FC236}">
                  <a16:creationId xmlns:a16="http://schemas.microsoft.com/office/drawing/2014/main" id="{00000000-0008-0000-3300-000017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ontact">
              <a:hlinkClick xmlns:r="http://schemas.openxmlformats.org/officeDocument/2006/relationships" r:id="rId21" tooltip="Contact"/>
              <a:extLst>
                <a:ext uri="{FF2B5EF4-FFF2-40B4-BE49-F238E27FC236}">
                  <a16:creationId xmlns:a16="http://schemas.microsoft.com/office/drawing/2014/main" id="{00000000-0008-0000-3300-00001B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Completion">
              <a:hlinkClick xmlns:r="http://schemas.openxmlformats.org/officeDocument/2006/relationships" r:id="rId22" tooltip=" "/>
              <a:extLst>
                <a:ext uri="{FF2B5EF4-FFF2-40B4-BE49-F238E27FC236}">
                  <a16:creationId xmlns:a16="http://schemas.microsoft.com/office/drawing/2014/main" id="{00000000-0008-0000-3300-00001C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Offer">
              <a:hlinkClick xmlns:r="http://schemas.openxmlformats.org/officeDocument/2006/relationships" r:id="rId23" tooltip=" "/>
              <a:extLst>
                <a:ext uri="{FF2B5EF4-FFF2-40B4-BE49-F238E27FC236}">
                  <a16:creationId xmlns:a16="http://schemas.microsoft.com/office/drawing/2014/main" id="{00000000-0008-0000-3300-00001D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Instructions">
              <a:hlinkClick xmlns:r="http://schemas.openxmlformats.org/officeDocument/2006/relationships" r:id="rId24" tooltip="Instructions"/>
              <a:extLst>
                <a:ext uri="{FF2B5EF4-FFF2-40B4-BE49-F238E27FC236}">
                  <a16:creationId xmlns:a16="http://schemas.microsoft.com/office/drawing/2014/main" id="{00000000-0008-0000-3300-00001E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Welcome">
              <a:hlinkClick xmlns:r="http://schemas.openxmlformats.org/officeDocument/2006/relationships" r:id="rId25" tooltip="Welcome"/>
              <a:extLst>
                <a:ext uri="{FF2B5EF4-FFF2-40B4-BE49-F238E27FC236}">
                  <a16:creationId xmlns:a16="http://schemas.microsoft.com/office/drawing/2014/main" id="{00000000-0008-0000-3300-00001F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2" name="Evergy Logo">
              <a:extLst>
                <a:ext uri="{FF2B5EF4-FFF2-40B4-BE49-F238E27FC236}">
                  <a16:creationId xmlns:a16="http://schemas.microsoft.com/office/drawing/2014/main" id="{00000000-0008-0000-3300-00002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15" name="Dividers">
            <a:extLst>
              <a:ext uri="{FF2B5EF4-FFF2-40B4-BE49-F238E27FC236}">
                <a16:creationId xmlns:a16="http://schemas.microsoft.com/office/drawing/2014/main" id="{00000000-0008-0000-3300-00000F000000}"/>
              </a:ext>
            </a:extLst>
          </xdr:cNvPr>
          <xdr:cNvGrpSpPr/>
        </xdr:nvGrpSpPr>
        <xdr:grpSpPr>
          <a:xfrm>
            <a:off x="1615312" y="85571"/>
            <a:ext cx="12926000" cy="423176"/>
            <a:chOff x="1615312" y="85571"/>
            <a:chExt cx="12926000" cy="423176"/>
          </a:xfrm>
        </xdr:grpSpPr>
        <xdr:cxnSp macro="">
          <xdr:nvCxnSpPr>
            <xdr:cNvPr id="16" name="Divider 4">
              <a:extLst>
                <a:ext uri="{FF2B5EF4-FFF2-40B4-BE49-F238E27FC236}">
                  <a16:creationId xmlns:a16="http://schemas.microsoft.com/office/drawing/2014/main" id="{00000000-0008-0000-3300-000010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3">
              <a:extLst>
                <a:ext uri="{FF2B5EF4-FFF2-40B4-BE49-F238E27FC236}">
                  <a16:creationId xmlns:a16="http://schemas.microsoft.com/office/drawing/2014/main" id="{00000000-0008-0000-3300-000012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2">
              <a:extLst>
                <a:ext uri="{FF2B5EF4-FFF2-40B4-BE49-F238E27FC236}">
                  <a16:creationId xmlns:a16="http://schemas.microsoft.com/office/drawing/2014/main" id="{00000000-0008-0000-3300-000013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1">
              <a:extLst>
                <a:ext uri="{FF2B5EF4-FFF2-40B4-BE49-F238E27FC236}">
                  <a16:creationId xmlns:a16="http://schemas.microsoft.com/office/drawing/2014/main" id="{00000000-0008-0000-3300-000014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29</xdr:col>
      <xdr:colOff>0</xdr:colOff>
      <xdr:row>24</xdr:row>
      <xdr:rowOff>84045</xdr:rowOff>
    </xdr:from>
    <xdr:to>
      <xdr:col>36</xdr:col>
      <xdr:colOff>91887</xdr:colOff>
      <xdr:row>35</xdr:row>
      <xdr:rowOff>0</xdr:rowOff>
    </xdr:to>
    <xdr:grpSp>
      <xdr:nvGrpSpPr>
        <xdr:cNvPr id="4" name="WBP_Active">
          <a:extLst>
            <a:ext uri="{FF2B5EF4-FFF2-40B4-BE49-F238E27FC236}">
              <a16:creationId xmlns:a16="http://schemas.microsoft.com/office/drawing/2014/main" id="{00000000-0008-0000-3300-000004000000}"/>
            </a:ext>
          </a:extLst>
        </xdr:cNvPr>
        <xdr:cNvGrpSpPr/>
      </xdr:nvGrpSpPr>
      <xdr:grpSpPr>
        <a:xfrm>
          <a:off x="9099176" y="4924986"/>
          <a:ext cx="2288240" cy="2134720"/>
          <a:chOff x="10197353" y="2666998"/>
          <a:chExt cx="2297205" cy="2134720"/>
        </a:xfrm>
      </xdr:grpSpPr>
      <xdr:pic>
        <xdr:nvPicPr>
          <xdr:cNvPr id="13" name="Logo">
            <a:hlinkClick xmlns:r="http://schemas.openxmlformats.org/officeDocument/2006/relationships" r:id="rId27" tooltip="Whole Building Performance Incentive"/>
            <a:extLst>
              <a:ext uri="{FF2B5EF4-FFF2-40B4-BE49-F238E27FC236}">
                <a16:creationId xmlns:a16="http://schemas.microsoft.com/office/drawing/2014/main" id="{00000000-0008-0000-3300-00000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430029" y="2666998"/>
            <a:ext cx="1831852" cy="1831852"/>
          </a:xfrm>
          <a:prstGeom prst="rect">
            <a:avLst/>
          </a:prstGeom>
          <a:solidFill>
            <a:schemeClr val="bg1"/>
          </a:solidFill>
        </xdr:spPr>
      </xdr:pic>
      <xdr:sp macro="" textlink="">
        <xdr:nvSpPr>
          <xdr:cNvPr id="35" name="Text">
            <a:hlinkClick xmlns:r="http://schemas.openxmlformats.org/officeDocument/2006/relationships" r:id="rId27" tooltip="Whole Building Performance Incentive"/>
            <a:extLst>
              <a:ext uri="{FF2B5EF4-FFF2-40B4-BE49-F238E27FC236}">
                <a16:creationId xmlns:a16="http://schemas.microsoft.com/office/drawing/2014/main" id="{00000000-0008-0000-3300-000023000000}"/>
              </a:ext>
            </a:extLst>
          </xdr:cNvPr>
          <xdr:cNvSpPr/>
        </xdr:nvSpPr>
        <xdr:spPr>
          <a:xfrm>
            <a:off x="10197353" y="4344518"/>
            <a:ext cx="2297205" cy="4572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lumMod val="75000"/>
                    <a:lumOff val="25000"/>
                  </a:schemeClr>
                </a:solidFill>
                <a:latin typeface="Arial" panose="020B0604020202020204" pitchFamily="34" charset="0"/>
                <a:cs typeface="Arial" panose="020B0604020202020204" pitchFamily="34" charset="0"/>
              </a:rPr>
              <a:t>Whole Building Performance Incentive</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24</xdr:col>
      <xdr:colOff>141195</xdr:colOff>
      <xdr:row>13</xdr:row>
      <xdr:rowOff>12328</xdr:rowOff>
    </xdr:from>
    <xdr:to>
      <xdr:col>30</xdr:col>
      <xdr:colOff>178848</xdr:colOff>
      <xdr:row>23</xdr:row>
      <xdr:rowOff>129989</xdr:rowOff>
    </xdr:to>
    <xdr:grpSp>
      <xdr:nvGrpSpPr>
        <xdr:cNvPr id="25" name="Grow Facility">
          <a:hlinkClick xmlns:r="http://schemas.openxmlformats.org/officeDocument/2006/relationships" r:id="rId1" tooltip="Building Area Method"/>
          <a:extLst>
            <a:ext uri="{FF2B5EF4-FFF2-40B4-BE49-F238E27FC236}">
              <a16:creationId xmlns:a16="http://schemas.microsoft.com/office/drawing/2014/main" id="{00000000-0008-0000-3400-000019000000}"/>
            </a:ext>
          </a:extLst>
        </xdr:cNvPr>
        <xdr:cNvGrpSpPr/>
      </xdr:nvGrpSpPr>
      <xdr:grpSpPr>
        <a:xfrm>
          <a:off x="7671548" y="2634504"/>
          <a:ext cx="1920241" cy="2134720"/>
          <a:chOff x="1977482" y="2666998"/>
          <a:chExt cx="1920240" cy="2134720"/>
        </a:xfrm>
      </xdr:grpSpPr>
      <xdr:pic>
        <xdr:nvPicPr>
          <xdr:cNvPr id="26" name="Icon">
            <a:hlinkClick xmlns:r="http://schemas.openxmlformats.org/officeDocument/2006/relationships" r:id="rId2" tooltip="Grow Facility"/>
            <a:extLst>
              <a:ext uri="{FF2B5EF4-FFF2-40B4-BE49-F238E27FC236}">
                <a16:creationId xmlns:a16="http://schemas.microsoft.com/office/drawing/2014/main" id="{00000000-0008-0000-34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23200" y="2666998"/>
            <a:ext cx="1828804" cy="1828804"/>
          </a:xfrm>
          <a:prstGeom prst="rect">
            <a:avLst/>
          </a:prstGeom>
        </xdr:spPr>
      </xdr:pic>
      <xdr:sp macro="" textlink="">
        <xdr:nvSpPr>
          <xdr:cNvPr id="27" name="Text">
            <a:hlinkClick xmlns:r="http://schemas.openxmlformats.org/officeDocument/2006/relationships" r:id="rId2" tooltip="Grow Facility"/>
            <a:extLst>
              <a:ext uri="{FF2B5EF4-FFF2-40B4-BE49-F238E27FC236}">
                <a16:creationId xmlns:a16="http://schemas.microsoft.com/office/drawing/2014/main" id="{00000000-0008-0000-3400-00001B000000}"/>
              </a:ext>
            </a:extLst>
          </xdr:cNvPr>
          <xdr:cNvSpPr/>
        </xdr:nvSpPr>
        <xdr:spPr>
          <a:xfrm>
            <a:off x="1977482" y="4344518"/>
            <a:ext cx="1920240" cy="4572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lumMod val="75000"/>
                    <a:lumOff val="25000"/>
                  </a:schemeClr>
                </a:solidFill>
                <a:latin typeface="Arial" panose="020B0604020202020204" pitchFamily="34" charset="0"/>
                <a:cs typeface="Arial" panose="020B0604020202020204" pitchFamily="34" charset="0"/>
              </a:rPr>
              <a:t>Grow Facility</a:t>
            </a:r>
          </a:p>
        </xdr:txBody>
      </xdr:sp>
    </xdr:grpSp>
    <xdr:clientData/>
  </xdr:twoCellAnchor>
  <xdr:twoCellAnchor editAs="oneCell">
    <xdr:from>
      <xdr:col>15</xdr:col>
      <xdr:colOff>224119</xdr:colOff>
      <xdr:row>13</xdr:row>
      <xdr:rowOff>34740</xdr:rowOff>
    </xdr:from>
    <xdr:to>
      <xdr:col>21</xdr:col>
      <xdr:colOff>261770</xdr:colOff>
      <xdr:row>23</xdr:row>
      <xdr:rowOff>152401</xdr:rowOff>
    </xdr:to>
    <xdr:grpSp>
      <xdr:nvGrpSpPr>
        <xdr:cNvPr id="22" name="Traditional">
          <a:hlinkClick xmlns:r="http://schemas.openxmlformats.org/officeDocument/2006/relationships" r:id="rId1" tooltip="Building Area Method"/>
          <a:extLst>
            <a:ext uri="{FF2B5EF4-FFF2-40B4-BE49-F238E27FC236}">
              <a16:creationId xmlns:a16="http://schemas.microsoft.com/office/drawing/2014/main" id="{00000000-0008-0000-3400-000016000000}"/>
            </a:ext>
          </a:extLst>
        </xdr:cNvPr>
        <xdr:cNvGrpSpPr/>
      </xdr:nvGrpSpPr>
      <xdr:grpSpPr>
        <a:xfrm>
          <a:off x="4930590" y="2656916"/>
          <a:ext cx="1920239" cy="2134720"/>
          <a:chOff x="1977482" y="2666998"/>
          <a:chExt cx="1920240" cy="2134720"/>
        </a:xfrm>
      </xdr:grpSpPr>
      <xdr:pic>
        <xdr:nvPicPr>
          <xdr:cNvPr id="23" name="Icon">
            <a:hlinkClick xmlns:r="http://schemas.openxmlformats.org/officeDocument/2006/relationships" r:id="rId1" tooltip="Traditional Building Types"/>
            <a:extLst>
              <a:ext uri="{FF2B5EF4-FFF2-40B4-BE49-F238E27FC236}">
                <a16:creationId xmlns:a16="http://schemas.microsoft.com/office/drawing/2014/main" id="{00000000-0008-0000-34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23200" y="2666998"/>
            <a:ext cx="1828804" cy="1828804"/>
          </a:xfrm>
          <a:prstGeom prst="rect">
            <a:avLst/>
          </a:prstGeom>
        </xdr:spPr>
      </xdr:pic>
      <xdr:sp macro="" textlink="">
        <xdr:nvSpPr>
          <xdr:cNvPr id="24" name="Text">
            <a:hlinkClick xmlns:r="http://schemas.openxmlformats.org/officeDocument/2006/relationships" r:id="rId1" tooltip="Traditional Building Types"/>
            <a:extLst>
              <a:ext uri="{FF2B5EF4-FFF2-40B4-BE49-F238E27FC236}">
                <a16:creationId xmlns:a16="http://schemas.microsoft.com/office/drawing/2014/main" id="{00000000-0008-0000-3400-000018000000}"/>
              </a:ext>
            </a:extLst>
          </xdr:cNvPr>
          <xdr:cNvSpPr/>
        </xdr:nvSpPr>
        <xdr:spPr>
          <a:xfrm>
            <a:off x="1977482" y="4344518"/>
            <a:ext cx="1920240" cy="4572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lumMod val="75000"/>
                    <a:lumOff val="25000"/>
                  </a:schemeClr>
                </a:solidFill>
                <a:latin typeface="Arial" panose="020B0604020202020204" pitchFamily="34" charset="0"/>
                <a:cs typeface="Arial" panose="020B0604020202020204" pitchFamily="34" charset="0"/>
              </a:rPr>
              <a:t>Traditional Building Types</a:t>
            </a:r>
          </a:p>
        </xdr:txBody>
      </xdr:sp>
    </xdr:grpSp>
    <xdr:clientData/>
  </xdr:twoCellAnchor>
  <xdr:twoCellAnchor editAs="oneCell">
    <xdr:from>
      <xdr:col>6</xdr:col>
      <xdr:colOff>0</xdr:colOff>
      <xdr:row>3</xdr:row>
      <xdr:rowOff>0</xdr:rowOff>
    </xdr:from>
    <xdr:to>
      <xdr:col>41</xdr:col>
      <xdr:colOff>223215</xdr:colOff>
      <xdr:row>7</xdr:row>
      <xdr:rowOff>196408</xdr:rowOff>
    </xdr:to>
    <xdr:grpSp>
      <xdr:nvGrpSpPr>
        <xdr:cNvPr id="11" name="Navigation">
          <a:extLst>
            <a:ext uri="{FF2B5EF4-FFF2-40B4-BE49-F238E27FC236}">
              <a16:creationId xmlns:a16="http://schemas.microsoft.com/office/drawing/2014/main" id="{00000000-0008-0000-3400-00000B000000}"/>
            </a:ext>
          </a:extLst>
        </xdr:cNvPr>
        <xdr:cNvGrpSpPr/>
      </xdr:nvGrpSpPr>
      <xdr:grpSpPr>
        <a:xfrm>
          <a:off x="1882588" y="605118"/>
          <a:ext cx="11204980" cy="1003231"/>
          <a:chOff x="1576553" y="592282"/>
          <a:chExt cx="11373937" cy="986117"/>
        </a:xfrm>
      </xdr:grpSpPr>
      <xdr:cxnSp macro="">
        <xdr:nvCxnSpPr>
          <xdr:cNvPr id="12" name="Reference">
            <a:extLst>
              <a:ext uri="{FF2B5EF4-FFF2-40B4-BE49-F238E27FC236}">
                <a16:creationId xmlns:a16="http://schemas.microsoft.com/office/drawing/2014/main" id="{00000000-0008-0000-3400-00000C000000}"/>
              </a:ext>
            </a:extLst>
          </xdr:cNvPr>
          <xdr:cNvCxnSpPr/>
        </xdr:nvCxnSpPr>
        <xdr:spPr>
          <a:xfrm>
            <a:off x="1593273" y="592282"/>
            <a:ext cx="0" cy="986117"/>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N5S2">
        <xdr:nvSpPr>
          <xdr:cNvPr id="13" name="7: Project Review">
            <a:hlinkClick xmlns:r="http://schemas.openxmlformats.org/officeDocument/2006/relationships" r:id="rId4" tooltip="Project Review"/>
            <a:extLst>
              <a:ext uri="{FF2B5EF4-FFF2-40B4-BE49-F238E27FC236}">
                <a16:creationId xmlns:a16="http://schemas.microsoft.com/office/drawing/2014/main" id="{00000000-0008-0000-3400-00000D000000}"/>
              </a:ext>
            </a:extLst>
          </xdr:cNvPr>
          <xdr:cNvSpPr/>
        </xdr:nvSpPr>
        <xdr:spPr>
          <a:xfrm>
            <a:off x="1113448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5C3958B-69AF-4616-A99B-A61F802B92D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5S1">
        <xdr:nvSpPr>
          <xdr:cNvPr id="14" name="6: Payment">
            <a:hlinkClick xmlns:r="http://schemas.openxmlformats.org/officeDocument/2006/relationships" r:id="rId5" tooltip="Payment"/>
            <a:extLst>
              <a:ext uri="{FF2B5EF4-FFF2-40B4-BE49-F238E27FC236}">
                <a16:creationId xmlns:a16="http://schemas.microsoft.com/office/drawing/2014/main" id="{00000000-0008-0000-3400-00000E000000}"/>
              </a:ext>
            </a:extLst>
          </xdr:cNvPr>
          <xdr:cNvSpPr/>
        </xdr:nvSpPr>
        <xdr:spPr>
          <a:xfrm>
            <a:off x="9541494"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49F02F8-2B99-4B12-9CAC-7DF61CA8058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MAIN3_N">
        <xdr:nvSpPr>
          <xdr:cNvPr id="15" name="5: Equipment Input">
            <a:hlinkClick xmlns:r="http://schemas.openxmlformats.org/officeDocument/2006/relationships" r:id="rId6" tooltip="Equipment Input"/>
            <a:extLst>
              <a:ext uri="{FF2B5EF4-FFF2-40B4-BE49-F238E27FC236}">
                <a16:creationId xmlns:a16="http://schemas.microsoft.com/office/drawing/2014/main" id="{00000000-0008-0000-3400-00000F000000}"/>
              </a:ext>
            </a:extLst>
          </xdr:cNvPr>
          <xdr:cNvSpPr/>
        </xdr:nvSpPr>
        <xdr:spPr>
          <a:xfrm>
            <a:off x="7948506" y="667565"/>
            <a:ext cx="1816007" cy="830388"/>
          </a:xfrm>
          <a:prstGeom prst="chevron">
            <a:avLst/>
          </a:prstGeom>
          <a:solidFill>
            <a:srgbClr val="317CC0"/>
          </a:solidFill>
          <a:ln>
            <a:solidFill>
              <a:srgbClr val="317C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FFFB642-801C-4F6D-81C1-394D58C30461}"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4">
        <xdr:nvSpPr>
          <xdr:cNvPr id="29" name="4: DTM">
            <a:hlinkClick xmlns:r="http://schemas.openxmlformats.org/officeDocument/2006/relationships" r:id="rId7" tooltip="Building Information"/>
            <a:extLst>
              <a:ext uri="{FF2B5EF4-FFF2-40B4-BE49-F238E27FC236}">
                <a16:creationId xmlns:a16="http://schemas.microsoft.com/office/drawing/2014/main" id="{00000000-0008-0000-3400-00001D000000}"/>
              </a:ext>
            </a:extLst>
          </xdr:cNvPr>
          <xdr:cNvSpPr/>
        </xdr:nvSpPr>
        <xdr:spPr>
          <a:xfrm>
            <a:off x="6355518"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21BACFA-4B98-49F7-944D-5BD1ACF6D144}"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3">
        <xdr:nvSpPr>
          <xdr:cNvPr id="37" name="3: Customer/Bldg Info">
            <a:hlinkClick xmlns:r="http://schemas.openxmlformats.org/officeDocument/2006/relationships" r:id="rId8" tooltip="Customer Information"/>
            <a:extLst>
              <a:ext uri="{FF2B5EF4-FFF2-40B4-BE49-F238E27FC236}">
                <a16:creationId xmlns:a16="http://schemas.microsoft.com/office/drawing/2014/main" id="{00000000-0008-0000-3400-000025000000}"/>
              </a:ext>
            </a:extLst>
          </xdr:cNvPr>
          <xdr:cNvSpPr/>
        </xdr:nvSpPr>
        <xdr:spPr>
          <a:xfrm>
            <a:off x="4762530"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AB0449-6498-4DCC-8137-16EF3341BD13}"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Customer &amp; Building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2">
        <xdr:nvSpPr>
          <xdr:cNvPr id="38" name="2: Design Team">
            <a:hlinkClick xmlns:r="http://schemas.openxmlformats.org/officeDocument/2006/relationships" r:id="rId9" tooltip="Trade Ally/Vendor Information"/>
            <a:extLst>
              <a:ext uri="{FF2B5EF4-FFF2-40B4-BE49-F238E27FC236}">
                <a16:creationId xmlns:a16="http://schemas.microsoft.com/office/drawing/2014/main" id="{00000000-0008-0000-3400-000026000000}"/>
              </a:ext>
            </a:extLst>
          </xdr:cNvPr>
          <xdr:cNvSpPr/>
        </xdr:nvSpPr>
        <xdr:spPr>
          <a:xfrm>
            <a:off x="3169541"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0F3749F-9C19-4209-9CE7-682A0DE74FE6}"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Information</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sp macro="" textlink="N2S1">
        <xdr:nvSpPr>
          <xdr:cNvPr id="39" name="1: T&amp;C's">
            <a:hlinkClick xmlns:r="http://schemas.openxmlformats.org/officeDocument/2006/relationships" r:id="rId10" tooltip="Terms &amp; Conditions"/>
            <a:extLst>
              <a:ext uri="{FF2B5EF4-FFF2-40B4-BE49-F238E27FC236}">
                <a16:creationId xmlns:a16="http://schemas.microsoft.com/office/drawing/2014/main" id="{00000000-0008-0000-3400-000027000000}"/>
              </a:ext>
            </a:extLst>
          </xdr:cNvPr>
          <xdr:cNvSpPr/>
        </xdr:nvSpPr>
        <xdr:spPr>
          <a:xfrm>
            <a:off x="1576553" y="667565"/>
            <a:ext cx="1816007" cy="830388"/>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F7BA52-1039-451D-BAB0-C4DBE2DF7EC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3400-000002000000}"/>
            </a:ext>
          </a:extLst>
        </xdr:cNvPr>
        <xdr:cNvGrpSpPr/>
      </xdr:nvGrpSpPr>
      <xdr:grpSpPr>
        <a:xfrm>
          <a:off x="0" y="0"/>
          <a:ext cx="15374471" cy="605118"/>
          <a:chOff x="0" y="0"/>
          <a:chExt cx="15822705" cy="591825"/>
        </a:xfrm>
      </xdr:grpSpPr>
      <xdr:grpSp>
        <xdr:nvGrpSpPr>
          <xdr:cNvPr id="3" name="Header">
            <a:extLst>
              <a:ext uri="{FF2B5EF4-FFF2-40B4-BE49-F238E27FC236}">
                <a16:creationId xmlns:a16="http://schemas.microsoft.com/office/drawing/2014/main" id="{00000000-0008-0000-3400-000003000000}"/>
              </a:ext>
            </a:extLst>
          </xdr:cNvPr>
          <xdr:cNvGrpSpPr/>
        </xdr:nvGrpSpPr>
        <xdr:grpSpPr>
          <a:xfrm>
            <a:off x="0" y="0"/>
            <a:ext cx="15822705" cy="591825"/>
            <a:chOff x="0" y="0"/>
            <a:chExt cx="15822705" cy="591825"/>
          </a:xfrm>
        </xdr:grpSpPr>
        <xdr:sp macro="" textlink="">
          <xdr:nvSpPr>
            <xdr:cNvPr id="9" name="Reference">
              <a:extLst>
                <a:ext uri="{FF2B5EF4-FFF2-40B4-BE49-F238E27FC236}">
                  <a16:creationId xmlns:a16="http://schemas.microsoft.com/office/drawing/2014/main" id="{00000000-0008-0000-3400-000009000000}"/>
                </a:ext>
              </a:extLst>
            </xdr:cNvPr>
            <xdr:cNvSpPr/>
          </xdr:nvSpPr>
          <xdr:spPr>
            <a:xfrm>
              <a:off x="0" y="0"/>
              <a:ext cx="1613648" cy="5918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11" tooltip="Contact"/>
              <a:extLst>
                <a:ext uri="{FF2B5EF4-FFF2-40B4-BE49-F238E27FC236}">
                  <a16:creationId xmlns:a16="http://schemas.microsoft.com/office/drawing/2014/main" id="{00000000-0008-0000-3400-00000A000000}"/>
                </a:ext>
              </a:extLst>
            </xdr:cNvPr>
            <xdr:cNvSpPr/>
          </xdr:nvSpPr>
          <xdr:spPr>
            <a:xfrm>
              <a:off x="14531787"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Completion">
              <a:hlinkClick xmlns:r="http://schemas.openxmlformats.org/officeDocument/2006/relationships" r:id="rId12" tooltip=" "/>
              <a:extLst>
                <a:ext uri="{FF2B5EF4-FFF2-40B4-BE49-F238E27FC236}">
                  <a16:creationId xmlns:a16="http://schemas.microsoft.com/office/drawing/2014/main" id="{00000000-0008-0000-3400-000028000000}"/>
                </a:ext>
              </a:extLst>
            </xdr:cNvPr>
            <xdr:cNvSpPr/>
          </xdr:nvSpPr>
          <xdr:spPr>
            <a:xfrm>
              <a:off x="1324087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Offer">
              <a:hlinkClick xmlns:r="http://schemas.openxmlformats.org/officeDocument/2006/relationships" r:id="rId13" tooltip=" "/>
              <a:extLst>
                <a:ext uri="{FF2B5EF4-FFF2-40B4-BE49-F238E27FC236}">
                  <a16:creationId xmlns:a16="http://schemas.microsoft.com/office/drawing/2014/main" id="{00000000-0008-0000-3400-000029000000}"/>
                </a:ext>
              </a:extLst>
            </xdr:cNvPr>
            <xdr:cNvSpPr/>
          </xdr:nvSpPr>
          <xdr:spPr>
            <a:xfrm>
              <a:off x="11949953"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Instructions">
              <a:hlinkClick xmlns:r="http://schemas.openxmlformats.org/officeDocument/2006/relationships" r:id="rId14" tooltip="Instructions"/>
              <a:extLst>
                <a:ext uri="{FF2B5EF4-FFF2-40B4-BE49-F238E27FC236}">
                  <a16:creationId xmlns:a16="http://schemas.microsoft.com/office/drawing/2014/main" id="{00000000-0008-0000-3400-00002A000000}"/>
                </a:ext>
              </a:extLst>
            </xdr:cNvPr>
            <xdr:cNvSpPr/>
          </xdr:nvSpPr>
          <xdr:spPr>
            <a:xfrm>
              <a:off x="2904565"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Welcome">
              <a:hlinkClick xmlns:r="http://schemas.openxmlformats.org/officeDocument/2006/relationships" r:id="rId15" tooltip="Welcome"/>
              <a:extLst>
                <a:ext uri="{FF2B5EF4-FFF2-40B4-BE49-F238E27FC236}">
                  <a16:creationId xmlns:a16="http://schemas.microsoft.com/office/drawing/2014/main" id="{00000000-0008-0000-3400-00002B000000}"/>
                </a:ext>
              </a:extLst>
            </xdr:cNvPr>
            <xdr:cNvSpPr/>
          </xdr:nvSpPr>
          <xdr:spPr>
            <a:xfrm>
              <a:off x="1613649" y="154"/>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 name="Evergy Logo">
              <a:extLst>
                <a:ext uri="{FF2B5EF4-FFF2-40B4-BE49-F238E27FC236}">
                  <a16:creationId xmlns:a16="http://schemas.microsoft.com/office/drawing/2014/main" id="{00000000-0008-0000-3400-00002C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42952" y="22469"/>
              <a:ext cx="1470695" cy="541173"/>
            </a:xfrm>
            <a:prstGeom prst="rect">
              <a:avLst/>
            </a:prstGeom>
          </xdr:spPr>
        </xdr:pic>
      </xdr:grpSp>
      <xdr:grpSp>
        <xdr:nvGrpSpPr>
          <xdr:cNvPr id="4" name="Dividers">
            <a:extLst>
              <a:ext uri="{FF2B5EF4-FFF2-40B4-BE49-F238E27FC236}">
                <a16:creationId xmlns:a16="http://schemas.microsoft.com/office/drawing/2014/main" id="{00000000-0008-0000-3400-000004000000}"/>
              </a:ext>
            </a:extLst>
          </xdr:cNvPr>
          <xdr:cNvGrpSpPr/>
        </xdr:nvGrpSpPr>
        <xdr:grpSpPr>
          <a:xfrm>
            <a:off x="1615312" y="85571"/>
            <a:ext cx="12926000" cy="423176"/>
            <a:chOff x="1615312" y="85571"/>
            <a:chExt cx="12926000" cy="423176"/>
          </a:xfrm>
        </xdr:grpSpPr>
        <xdr:cxnSp macro="">
          <xdr:nvCxnSpPr>
            <xdr:cNvPr id="5" name="Divider 4">
              <a:extLst>
                <a:ext uri="{FF2B5EF4-FFF2-40B4-BE49-F238E27FC236}">
                  <a16:creationId xmlns:a16="http://schemas.microsoft.com/office/drawing/2014/main" id="{00000000-0008-0000-3400-000005000000}"/>
                </a:ext>
              </a:extLst>
            </xdr:cNvPr>
            <xdr:cNvCxnSpPr/>
          </xdr:nvCxnSpPr>
          <xdr:spPr>
            <a:xfrm>
              <a:off x="14531787" y="85571"/>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34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3400-000007000000}"/>
                </a:ext>
              </a:extLst>
            </xdr:cNvPr>
            <xdr:cNvCxnSpPr/>
          </xdr:nvCxnSpPr>
          <xdr:spPr>
            <a:xfrm>
              <a:off x="289493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3400-000008000000}"/>
                </a:ext>
              </a:extLst>
            </xdr:cNvPr>
            <xdr:cNvCxnSpPr/>
          </xdr:nvCxnSpPr>
          <xdr:spPr>
            <a:xfrm>
              <a:off x="161531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BUILDINGTYPE" displayName="BUILDINGTYPE" ref="O11:S41" totalsRowShown="0">
  <autoFilter ref="O11:S41" xr:uid="{00000000-0009-0000-0100-000016000000}"/>
  <sortState xmlns:xlrd2="http://schemas.microsoft.com/office/spreadsheetml/2017/richdata2" ref="O12:Q27">
    <sortCondition ref="O11:O27"/>
  </sortState>
  <tableColumns count="5">
    <tableColumn id="1" xr3:uid="{00000000-0010-0000-0F00-000001000000}" name="Building Type"/>
    <tableColumn id="2" xr3:uid="{012EE1D3-CD84-485D-B59E-074B7EDC9514}" name="Waste Heat Factor (e)"/>
    <tableColumn id="3" xr3:uid="{E371E3AC-A18A-417A-AFAC-FA46190A5616}" name="Lighting Coincidence Factor"/>
    <tableColumn id="4" xr3:uid="{F554119E-477A-48E8-8827-0E49C12C2770}" name="WHFd" dataDxfId="519"/>
    <tableColumn id="5" xr3:uid="{EF282AF5-C332-4CBC-8A51-7039730A0F86}" name="Transformer LF" dataDxfId="51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97:D113" totalsRowShown="0">
  <autoFilter ref="C97:D113"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RATECLASS" displayName="RATECLASS" ref="F23:H32" totalsRowShown="0">
  <autoFilter ref="F23:H32" xr:uid="{00000000-0009-0000-0100-00002B000000}"/>
  <tableColumns count="3">
    <tableColumn id="1" xr3:uid="{00000000-0010-0000-1C00-000001000000}" name="Rate Schedules"/>
    <tableColumn id="2" xr3:uid="{00000000-0010-0000-1C00-000002000000}" name="Rate"/>
    <tableColumn id="3" xr3:uid="{F75EC826-F983-4249-BE3A-444641AAD133}" name="Territory"/>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0:A68" totalsRowShown="0">
  <autoFilter ref="A60:A68" xr:uid="{00000000-0009-0000-0100-00002C000000}"/>
  <sortState xmlns:xlrd2="http://schemas.microsoft.com/office/spreadsheetml/2017/richdata2" ref="A61:A67">
    <sortCondition ref="A60:A67"/>
  </sortState>
  <tableColumns count="1">
    <tableColumn id="1" xr3:uid="{00000000-0010-0000-1D00-000001000000}" name="Impl. Specialis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F11:H20" totalsRowShown="0">
  <autoFilter ref="F11:H20" xr:uid="{00000000-0009-0000-0100-00002E000000}"/>
  <sortState xmlns:xlrd2="http://schemas.microsoft.com/office/spreadsheetml/2017/richdata2" ref="F12:H19">
    <sortCondition ref="F11:F19"/>
  </sortState>
  <tableColumns count="3">
    <tableColumn id="1" xr3:uid="{00000000-0010-0000-1E00-000001000000}" name="Business Development Lead"/>
    <tableColumn id="2" xr3:uid="{FD636281-4318-4E4B-935B-215B27CE0BC3}" name="Phone"/>
    <tableColumn id="3" xr3:uid="{3F0A7499-23F1-4F40-8C09-5955EA8C3B40}" name="Emai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70:A77" totalsRowShown="0">
  <autoFilter ref="A70:A77" xr:uid="{00000000-0009-0000-0100-00002F000000}"/>
  <sortState xmlns:xlrd2="http://schemas.microsoft.com/office/spreadsheetml/2017/richdata2" ref="A71:A76">
    <sortCondition ref="A70:A76"/>
  </sortState>
  <tableColumns count="1">
    <tableColumn id="1" xr3:uid="{00000000-0010-0000-1F00-000001000000}" name="Engineer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115:D129" totalsRowShown="0">
  <autoFilter ref="C115:D129" xr:uid="{9919102D-53DA-4750-B123-AE16CB929FEB}"/>
  <tableColumns count="2">
    <tableColumn id="1" xr3:uid="{E971C422-A0DF-407A-810E-59EFF0DE1F82}" name="Tests/Rates/Caps"/>
    <tableColumn id="2" xr3:uid="{E6B94532-F98C-4B3E-9352-D56CE4FDE74E}" name="Value" dataDxfId="51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6:A44" totalsRowShown="0">
  <autoFilter ref="A36:A44"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8B2A2E-95AE-46DD-8E85-FECFEDEE9012}" name="INCENTTYPE" displayName="INCENTTYPE" ref="A85:A87" totalsRowShown="0">
  <autoFilter ref="A85:A87" xr:uid="{B67C4D0F-1A60-421C-B9DB-3C9AD2AFCA4C}"/>
  <tableColumns count="1">
    <tableColumn id="1" xr3:uid="{DB3B4897-1316-4BBF-B264-533AA0316E41}" name="Incentive 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5AF143-55B1-4407-BDEF-202738C129CC}" name="PAYMENT_X" displayName="PAYMENT_X" ref="AU18:BF23" totalsRowShown="0">
  <autoFilter ref="AU18:BF23" xr:uid="{0862F6BE-6689-4E94-8380-725C6AE2599D}"/>
  <tableColumns count="12">
    <tableColumn id="1" xr3:uid="{43EF493E-3768-4697-B4AF-0A98C71A925F}" name="Payment to"/>
    <tableColumn id="2" xr3:uid="{D3318855-A63D-4387-BA7E-ABEDEDD244B4}" name="Company" dataDxfId="509">
      <calculatedColumnFormula>M02S04F07</calculatedColumnFormula>
    </tableColumn>
    <tableColumn id="7" xr3:uid="{5F99523A-C655-4A78-9869-84680E3C109B}" name="Address"/>
    <tableColumn id="8" xr3:uid="{F38F3B6C-3A47-45BC-9EBB-848610D2F701}" name="City"/>
    <tableColumn id="9" xr3:uid="{DD3CC199-1E3A-4F06-B352-344F43D047E7}" name="State"/>
    <tableColumn id="10" xr3:uid="{F76E68AD-8596-48F4-9CC8-90D429E66A91}" name="Zip"/>
    <tableColumn id="3" xr3:uid="{0E21235D-B253-4DDA-9E53-353CE48A73AE}" name="First"/>
    <tableColumn id="4" xr3:uid="{AD75D21E-ED2B-42C1-9A8E-866137F6B719}" name="Last"/>
    <tableColumn id="5" xr3:uid="{F473A955-AFE0-4B56-903A-077CBF05F34A}" name="Phone"/>
    <tableColumn id="6" xr3:uid="{A06EDBE0-3CE9-4CB8-8024-64E048F1C15F}" name="Email" dataDxfId="508">
      <calculatedColumnFormula>M02S02F10</calculatedColumnFormula>
    </tableColumn>
    <tableColumn id="11" xr3:uid="{DC001D56-D5F6-4621-8637-AD1661DE37E7}" name="Terms"/>
    <tableColumn id="12" xr3:uid="{86C7B9A6-5073-446C-A31E-FA21DD28EBB8}" name="Payment Preferen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22:D88" totalsRowShown="0">
  <autoFilter ref="C22:D88" xr:uid="{00000000-0009-0000-0100-000018000000}"/>
  <sortState xmlns:xlrd2="http://schemas.microsoft.com/office/spreadsheetml/2017/richdata2" ref="C23:D75">
    <sortCondition ref="D22:D75"/>
  </sortState>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58CC00-E98B-419E-8C13-F7C72EA80508}" name="PROJTYPE_N" displayName="PROJTYPE_N" ref="A89:A92" totalsRowShown="0">
  <autoFilter ref="A89:A92" xr:uid="{A4573037-93EC-4C77-A0E9-30627426FF33}"/>
  <tableColumns count="1">
    <tableColumn id="1" xr3:uid="{513F9AA1-2538-498A-AF1B-E9D1FE4F5A54}" name="New Construction Project Typ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FCD029-7CD7-44AF-8F51-234421264041}" name="WBPINCENT" displayName="WBPINCENT" ref="C130:D132" totalsRowShown="0" headerRowDxfId="507" dataDxfId="506">
  <autoFilter ref="C130:D132" xr:uid="{4006C8D3-4E41-433A-8082-3DB838C080D7}"/>
  <tableColumns count="2">
    <tableColumn id="1" xr3:uid="{3AD87508-FC4D-4B42-BB18-789A39A72F02}" name="WBP Energy Savings % Below Baseline" dataDxfId="505"/>
    <tableColumn id="2" xr3:uid="{C53A8002-A38F-4660-BAB0-2CC0907E8BCF}" name="Incentive Rate" dataDxfId="50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E25871B-221A-468B-A67A-8B176C4C5F31}" name="ENERGYMODEL" displayName="ENERGYMODEL" ref="A94:A102" totalsRowShown="0">
  <autoFilter ref="A94:A102" xr:uid="{6F283F39-100C-4495-8665-57CDBE2EA3EC}"/>
  <sortState xmlns:xlrd2="http://schemas.microsoft.com/office/spreadsheetml/2017/richdata2" ref="A95:A101">
    <sortCondition ref="A94:A101"/>
  </sortState>
  <tableColumns count="1">
    <tableColumn id="1" xr3:uid="{3BBF8239-4829-4065-8582-FC4B5AC78DA1}" name="Energy Modeling Softwar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4A6BE23-29DB-4CE8-9608-49DD638558C1}" name="PAYMENT_N" displayName="PAYMENT_N" ref="AU25:BF30" totalsRowShown="0">
  <autoFilter ref="AU25:BF30" xr:uid="{E444B727-113C-49A4-A17A-A8E783547E95}"/>
  <tableColumns count="12">
    <tableColumn id="1" xr3:uid="{B0D78A6C-B16B-4DF1-9AF4-5EDD28F0FE92}" name="Payment to"/>
    <tableColumn id="2" xr3:uid="{54FBAF29-726F-4651-950F-D2488E8A4A8E}" name="Company" dataDxfId="503">
      <calculatedColumnFormula>M02S04F07</calculatedColumnFormula>
    </tableColumn>
    <tableColumn id="7" xr3:uid="{15D42366-2E19-46BE-BE3A-E00410B03744}" name="Address"/>
    <tableColumn id="8" xr3:uid="{F3192651-46AE-4046-A9E1-C1178CAB9367}" name="City"/>
    <tableColumn id="9" xr3:uid="{085DAC77-BFE6-426C-81FF-E06F8EB6D74F}" name="State"/>
    <tableColumn id="10" xr3:uid="{DAEDAE3D-6EA3-49DA-B001-5C084510AF88}" name="Zip"/>
    <tableColumn id="3" xr3:uid="{0DFF9636-49F7-4D56-9A32-27BD209975EA}" name="First"/>
    <tableColumn id="4" xr3:uid="{654F4472-4E94-4192-90E9-AA860FBF2E25}" name="Last"/>
    <tableColumn id="5" xr3:uid="{E78F9CF8-D2CB-4364-9E70-73A7BEFD5A56}" name="Phone"/>
    <tableColumn id="6" xr3:uid="{2E849C54-50CB-462B-ABDB-5B236D3C3487}" name="Email" dataDxfId="502">
      <calculatedColumnFormula>M02S02F10</calculatedColumnFormula>
    </tableColumn>
    <tableColumn id="11" xr3:uid="{C8205A28-6A4F-4CDD-A2D6-F6501E49DC32}" name="Terms"/>
    <tableColumn id="12" xr3:uid="{C0AA20EC-C214-4326-AB0C-95DB86209F93}" name="Payment Preferenc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D892608-12D6-443E-B468-3CE881DE0E64}" name="DESIGNTEAM" displayName="DESIGNTEAM" ref="A117:A123" totalsRowShown="0">
  <autoFilter ref="A117:A123" xr:uid="{600DA09D-95CD-4196-96C7-8649347E33FB}"/>
  <tableColumns count="1">
    <tableColumn id="1" xr3:uid="{B2C41152-F9FA-4159-A1EC-3F582FFDB72D}" name="Design Team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34:D152" totalsRowShown="0" tableBorderDxfId="501">
  <autoFilter ref="C134:D152"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JECTTYPE" displayName="PROJECTTYPE" ref="A104:A108" totalsRowShown="0">
  <autoFilter ref="A104:A108" xr:uid="{00000000-0009-0000-0100-000003000000}"/>
  <sortState xmlns:xlrd2="http://schemas.microsoft.com/office/spreadsheetml/2017/richdata2" ref="A105:B107">
    <sortCondition descending="1" ref="A104:A107"/>
  </sortState>
  <tableColumns count="1">
    <tableColumn id="2" xr3:uid="{9A9CF9C8-2417-4A93-939B-9DDEC33DDB56}" name="Project Categor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10:A112" totalsRowShown="0">
  <autoFilter ref="A110:A112" xr:uid="{0E4FDCE4-66D1-4FBA-BDDA-ECA15BC8AF84}"/>
  <sortState xmlns:xlrd2="http://schemas.microsoft.com/office/spreadsheetml/2017/richdata2" ref="A111:B113">
    <sortCondition descending="1" ref="A104:A108"/>
  </sortState>
  <tableColumns count="1">
    <tableColumn id="2" xr3:uid="{AE6902E5-295B-4EC8-B7EE-A312017C5C70}" name="Cost Typ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3B22D8A-35A3-4902-90C3-AA86D167D52A}" name="Table72" displayName="Table72" ref="A125:A128" totalsRowShown="0">
  <autoFilter ref="A125:A128" xr:uid="{33B22D8A-35A3-4902-90C3-AA86D167D52A}"/>
  <tableColumns count="1">
    <tableColumn id="1" xr3:uid="{4D96E9DE-48B1-45D2-86AC-6D45184624CB}" name="RCx TA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9A9DE72-0A05-4378-9E4A-554A90FAB6D9}" name="Table83" displayName="Table83" ref="A130:A132" totalsRowShown="0">
  <autoFilter ref="A130:A132" xr:uid="{D9A9DE72-0A05-4378-9E4A-554A90FAB6D9}"/>
  <tableColumns count="1">
    <tableColumn id="1" xr3:uid="{A49C6107-753C-4AEA-B693-2466D4C38A61}" name="Electrical Phase Typ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C154:D160" totalsRowShown="0">
  <autoFilter ref="C154:D160" xr:uid="{00000000-0009-0000-0100-000019000000}"/>
  <tableColumns count="2">
    <tableColumn id="1" xr3:uid="{00000000-0010-0000-1100-000001000000}" name="Space Conditioning"/>
    <tableColumn id="2" xr3:uid="{C9000589-8D55-41D7-8572-FD80BEA47A5F}" name="ELECHEA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E6CC59E-0933-48A0-8E64-368F16B1652D}" name="TFBASEMV" displayName="TFBASEMV" ref="AK13:AS38" totalsRowShown="0" headerRowDxfId="500" dataDxfId="499" dataCellStyle="Percent">
  <autoFilter ref="AK13:AS38" xr:uid="{BE6CC59E-0933-48A0-8E64-368F16B1652D}"/>
  <tableColumns count="9">
    <tableColumn id="1" xr3:uid="{0863B01B-5915-4103-8AC1-7C0175172BAB}" name="kVA"/>
    <tableColumn id="2" xr3:uid="{40E4E194-7CDB-48F6-B9DA-EBD5436DD718}" name="1PH_Eff" dataDxfId="498"/>
    <tableColumn id="3" xr3:uid="{6E5A86E2-0FF8-48FD-9CB7-5CBEF96E5900}" name="20-45 kV" dataDxfId="497" dataCellStyle="Percent"/>
    <tableColumn id="4" xr3:uid="{DA54A620-DFE9-4C24-99E6-1D1C0EE45DAA}" name="46-95 kV" dataDxfId="496" dataCellStyle="Percent"/>
    <tableColumn id="5" xr3:uid="{1141E23A-AEE1-4456-9C69-B3C556662268}" name="≥96 kV" dataDxfId="495" dataCellStyle="Percent"/>
    <tableColumn id="6" xr3:uid="{AD7CD83F-2368-4BDA-A2C2-6313D87A7DFF}" name="3PH_Eff" dataDxfId="494">
      <calculatedColumnFormula>ROUND(AVERAGE(AQ14:AS14), 4)</calculatedColumnFormula>
    </tableColumn>
    <tableColumn id="7" xr3:uid="{FC02E669-E655-4666-AEC1-FFA46170FBBC}" name="20-45 kV2" dataDxfId="493" dataCellStyle="Percent"/>
    <tableColumn id="8" xr3:uid="{67CBA67F-A367-4069-BD68-74A5939D5F3D}" name="46-95 kV3" dataDxfId="492" dataCellStyle="Percent"/>
    <tableColumn id="9" xr3:uid="{3B09A59C-5B8E-4B0D-9A44-D88751CE437E}" name="≥96 kV4" dataDxfId="491" dataCellStyle="Percen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BFFAD7E3-F985-4300-8052-F01864ABB8DF}" name="TFBASELI" displayName="TFBASELI" ref="AK41:AM66" totalsRowShown="0">
  <autoFilter ref="AK41:AM66" xr:uid="{BFFAD7E3-F985-4300-8052-F01864ABB8DF}"/>
  <tableColumns count="3">
    <tableColumn id="1" xr3:uid="{8A63B8C1-C9A9-483C-B1B2-07CAB769DB5F}" name="kVA"/>
    <tableColumn id="2" xr3:uid="{F9DB6AE8-3886-4792-9335-9FA07F6848E2}" name="1PH_Eff" dataDxfId="490"/>
    <tableColumn id="3" xr3:uid="{EF213BCE-96DA-405F-AED4-20017A0EBF19}" name="3PH_Eff" dataDxfId="489"/>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BA06B36-C4F0-4743-A07E-E24D3F36C70D}" name="TFBASELV" displayName="TFBASELV" ref="AO41:AQ60" totalsRowShown="0">
  <autoFilter ref="AO41:AQ60" xr:uid="{DBA06B36-C4F0-4743-A07E-E24D3F36C70D}"/>
  <tableColumns count="3">
    <tableColumn id="1" xr3:uid="{C3E46C6A-4A4C-48A7-8E6B-913E7AF57D9E}" name="kVA"/>
    <tableColumn id="2" xr3:uid="{C2C7666A-DB37-4569-B3C6-AEB0D708C0B5}" name="1PH_Eff" dataDxfId="488"/>
    <tableColumn id="3" xr3:uid="{52B8B3F3-84C8-4520-9658-F7E1002DEA91}" name="3PH_Eff" dataDxfId="487"/>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CITYCOUNTYCODES" displayName="CITYCOUNTYCODES" ref="AB11:AG518" totalsRowShown="0" dataDxfId="486">
  <autoFilter ref="AB11:AG518" xr:uid="{00000000-0009-0000-0100-000012000000}"/>
  <sortState xmlns:xlrd2="http://schemas.microsoft.com/office/spreadsheetml/2017/richdata2" ref="AB12:AG518">
    <sortCondition ref="AC11:AC518"/>
  </sortState>
  <tableColumns count="6">
    <tableColumn id="1" xr3:uid="{00000000-0010-0000-2700-000001000000}" name="ZIP Code" dataDxfId="485"/>
    <tableColumn id="2" xr3:uid="{00000000-0010-0000-2700-000002000000}" name="City" dataDxfId="484"/>
    <tableColumn id="4" xr3:uid="{00000000-0010-0000-2700-000004000000}" name="NC City Code" dataDxfId="483"/>
    <tableColumn id="5" xr3:uid="{00000000-0010-0000-2700-000005000000}" name="County" dataDxfId="482"/>
    <tableColumn id="7" xr3:uid="{00000000-0010-0000-2700-000007000000}" name="NC County Code" dataDxfId="481"/>
    <tableColumn id="9" xr3:uid="{00000000-0010-0000-2700-000009000000}" name="No Code" dataDxfId="480"/>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CITIES" displayName="CITIES" ref="AI11:AI394" totalsRowShown="0">
  <autoFilter ref="AI11:AI394" xr:uid="{00000000-0009-0000-0100-000039000000}"/>
  <sortState xmlns:xlrd2="http://schemas.microsoft.com/office/spreadsheetml/2017/richdata2" ref="AI12:AI394">
    <sortCondition ref="AI11:AI394"/>
  </sortState>
  <tableColumns count="1">
    <tableColumn id="1" xr3:uid="{00000000-0010-0000-2800-000001000000}" name="City"/>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086E38-DC07-4489-945F-0FFBC524A2A8}" name="ENERGYCODES" displayName="ENERGYCODES" ref="A28:A33" totalsRowShown="0">
  <autoFilter ref="A28:A33" xr:uid="{C54925B7-0CF2-49D6-A9A4-E1BBED33EF7B}"/>
  <tableColumns count="1">
    <tableColumn id="1" xr3:uid="{435B7D4D-67D7-4207-A53D-7C955507B7E6}" name="Codes"/>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C5BECC-A2D0-4E4C-A8C6-2AB5BB0CA4FB}" name="Excel_Ack" displayName="Excel_Ack" ref="J11:M12" totalsRowShown="0" headerRowDxfId="479" dataDxfId="478">
  <autoFilter ref="J11:M12" xr:uid="{EAC5BECC-A2D0-4E4C-A8C6-2AB5BB0CA4FB}"/>
  <tableColumns count="4">
    <tableColumn id="1" xr3:uid="{3E38C536-C4D4-418F-B3ED-DE3084AA7A71}" name="Acknowledge" dataDxfId="477"/>
    <tableColumn id="2" xr3:uid="{60F03FC8-D543-4D16-A94E-0C87CFDA9861}" name="Main" dataDxfId="476">
      <calculatedColumnFormula>IF(Excel_Ack[[#This Row],[Acknowledge]]=TRUE, "'M02-S01'!A1", "'M01-S02'!A1")</calculatedColumnFormula>
    </tableColumn>
    <tableColumn id="3" xr3:uid="{58B1A54D-DF56-485D-8035-9B921404930D}" name="NC" dataDxfId="475">
      <calculatedColumnFormula>IF(Excel_Ack[[#This Row],[Acknowledge]]=TRUE, "'N02-S01'!A1", "'N01-S02'!A1")</calculatedColumnFormula>
    </tableColumn>
    <tableColumn id="4" xr3:uid="{F08F5BB1-80DC-4A2D-95C9-BEC51B3F2BFF}" name="RCx" dataDxfId="474">
      <calculatedColumnFormula>IF(Excel_Ack[[#This Row],[Acknowledge]]=TRUE, "'X02-S01'!A1", "'X01-S02'!A1")</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4421653-27C1-430D-98BB-82B415E9E41F}" name="Excel_Ack_Contact" displayName="Excel_Ack_Contact" ref="J15:M16" totalsRowShown="0" headerRowDxfId="473" dataDxfId="472">
  <autoFilter ref="J15:M16" xr:uid="{A4421653-27C1-430D-98BB-82B415E9E41F}"/>
  <tableColumns count="4">
    <tableColumn id="1" xr3:uid="{6F4E75C1-BF62-4B50-ACF6-8D59B8006D08}" name="Acknowledge" dataDxfId="471">
      <calculatedColumnFormula array="1">Excel_Ack[Acknowledge]</calculatedColumnFormula>
    </tableColumn>
    <tableColumn id="2" xr3:uid="{2CF075DA-FE4D-4AA5-96EC-EC901D15BC33}" name="Main" dataDxfId="470">
      <calculatedColumnFormula>"'M01-S03'!A1"</calculatedColumnFormula>
    </tableColumn>
    <tableColumn id="3" xr3:uid="{02CA9CC4-3799-49E0-A145-3C8F9F73D6EE}" name="NC" dataDxfId="469">
      <calculatedColumnFormula>"'N01-S03'!A1"</calculatedColumnFormula>
    </tableColumn>
    <tableColumn id="4" xr3:uid="{39220E7E-FDBF-4BC7-8EB6-C47EAAD69605}" name="RCx" dataDxfId="468">
      <calculatedColumnFormula>"'X01-S03'!A1"</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7F1A01E-56B7-4744-997F-4B52A5140371}" name="Excel_Ack_Offer" displayName="Excel_Ack_Offer" ref="J19:M20" totalsRowShown="0" headerRowDxfId="467" dataDxfId="466">
  <autoFilter ref="J19:M20" xr:uid="{07F1A01E-56B7-4744-997F-4B52A5140371}"/>
  <tableColumns count="4">
    <tableColumn id="1" xr3:uid="{978C0DD2-D78D-4FA3-8EA9-23C6635A9CC2}" name="Acknowledge" dataDxfId="465">
      <calculatedColumnFormula array="1">Excel_Ack[Acknowledge]</calculatedColumnFormula>
    </tableColumn>
    <tableColumn id="2" xr3:uid="{2DE8BA7B-D248-41C6-BE6A-22D4B0F0F090}" name="Main" dataDxfId="464">
      <calculatedColumnFormula>IF(Excel_Ack_Offer[[#This Row],[Acknowledge]]=TRUE, IF(ACTIVEOFFER="Yes", "'M05-S04'!A1", ""), "'M01-S02'!A1")</calculatedColumnFormula>
    </tableColumn>
    <tableColumn id="3" xr3:uid="{C91E2005-7400-403C-BB08-2B99E14B74C3}" name="NC" dataDxfId="463">
      <calculatedColumnFormula>IF(Excel_Ack_Offer[[#This Row],[Acknowledge]]=TRUE, IF(ACTIVEOFFER_N="Yes", "'N05-S04'!A1", ""), "'N01-S02'!A1")</calculatedColumnFormula>
    </tableColumn>
    <tableColumn id="4" xr3:uid="{AC2E7D63-05E2-422F-A9B6-4A22C6B206E9}" name="RCx" dataDxfId="462">
      <calculatedColumnFormula>IF(Excel_Ack_Offer[[#This Row],[Acknowledge]]=TRUE, IF(ACTIVEOFFER_X="Yes", "'X05-S04'!A1", ""), "'X01-S02'!A1")</calculatedColumn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FD3E2BBE-2CC2-40CB-94E7-43C7F5D6D796}" name="Excel_Ack_Compl" displayName="Excel_Ack_Compl" ref="J23:M24" totalsRowShown="0" headerRowDxfId="461" dataDxfId="460">
  <autoFilter ref="J23:M24" xr:uid="{FD3E2BBE-2CC2-40CB-94E7-43C7F5D6D796}"/>
  <tableColumns count="4">
    <tableColumn id="1" xr3:uid="{50D22192-F5D8-4B9F-B9A9-D8C7A853E92A}" name="Acknowledge" dataDxfId="459">
      <calculatedColumnFormula array="1">Excel_Ack[Acknowledge]</calculatedColumnFormula>
    </tableColumn>
    <tableColumn id="2" xr3:uid="{9AA68F65-E5EE-49C4-9910-7F809573A3A1}" name="Main" dataDxfId="458">
      <calculatedColumnFormula>IF(Excel_Ack_Compl[[#This Row],[Acknowledge]]=TRUE, IF(ACTIVECOMPL="Yes", "'M05-S05'!A1", ""), "'M01-S02'!A1")</calculatedColumnFormula>
    </tableColumn>
    <tableColumn id="3" xr3:uid="{CCFDC59F-4192-4D8E-A07D-C8D020ED8FE8}" name="NC" dataDxfId="457">
      <calculatedColumnFormula>IF(Excel_Ack_Compl[[#This Row],[Acknowledge]]=TRUE, IF(ACTIVECOMPL_N="Yes", "'N05-S05'!A1", ""), "'N01-S02'!A1")</calculatedColumnFormula>
    </tableColumn>
    <tableColumn id="4" xr3:uid="{8300F579-E711-4EA3-BB36-0C0A92AC7479}" name="RCx" dataDxfId="456">
      <calculatedColumnFormula>IF(Excel_Ack_Compl[[#This Row],[Acknowledge]]=TRUE, IF(ACTIVECOMPL_X="Yes", "'X05-S05'!A1", ""), "'X01-S02'!A1")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PROGRAMTYPE" displayName="PROGRAMTYPE" ref="A19:A26" totalsRowShown="0">
  <autoFilter ref="A19:A26" xr:uid="{00000000-0009-0000-0100-00001B000000}"/>
  <sortState xmlns:xlrd2="http://schemas.microsoft.com/office/spreadsheetml/2017/richdata2" ref="A20:A25">
    <sortCondition ref="A19:A25"/>
  </sortState>
  <tableColumns count="1">
    <tableColumn id="1" xr3:uid="{00000000-0010-0000-1300-000001000000}" name="Project Typ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ELECCB" displayName="ELECCB" ref="A11:G36" totalsRowShown="0" headerRowDxfId="455">
  <autoFilter ref="A11:G36" xr:uid="{00000000-0009-0000-0100-000011000000}"/>
  <tableColumns count="7">
    <tableColumn id="1" xr3:uid="{00000000-0010-0000-0E00-000001000000}" name="Year" dataDxfId="454"/>
    <tableColumn id="2" xr3:uid="{00000000-0010-0000-0E00-000002000000}" name="Year Number"/>
    <tableColumn id="5" xr3:uid="{D4726E79-2B04-4F69-A6F9-BED1C7AC43FB}" name="Capacity Reserve Margin"/>
    <tableColumn id="4" xr3:uid="{1937B239-7B7E-4712-B404-9637E1920678}" name="Avoided Capacity Cost $/kW"/>
    <tableColumn id="3" xr3:uid="{28B6BC17-76FA-4DE4-B822-2631A6E4B9D6}" name="Avoided T&amp;D $/kW"/>
    <tableColumn id="9" xr3:uid="{00000000-0010-0000-0E00-000009000000}" name="NPV AEC $/kWh" dataDxfId="453">
      <calculatedColumnFormula>L50</calculatedColumnFormula>
    </tableColumn>
    <tableColumn id="10" xr3:uid="{00000000-0010-0000-0E00-00000A000000}" name="NPV ACC $/kW" dataDxfId="452">
      <calculatedColumnFormula>M50</calculatedColumnFormula>
    </tableColumn>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3069F86-EE70-4F0A-88C0-C0B9753EF296}" name="Table2" displayName="Table2" ref="K49:O74" totalsRowShown="0" headerRowDxfId="451" dataDxfId="449" headerRowBorderDxfId="450" tableBorderDxfId="448" totalsRowBorderDxfId="447" headerRowCellStyle="Normal 23" dataCellStyle="Normal 23">
  <autoFilter ref="K49:O74" xr:uid="{AB7D8CF8-70CE-4B46-B609-9F929D47C05F}"/>
  <tableColumns count="5">
    <tableColumn id="1" xr3:uid="{8458E4E7-D605-4A21-AE72-8CC4813417FA}" name="Measure Life" dataDxfId="446" dataCellStyle="Normal 23"/>
    <tableColumn id="2" xr3:uid="{19377D27-711C-46EF-BAB0-A1647EAADA1F}" name="$/kWh" dataDxfId="445" dataCellStyle="Normal 23">
      <calculatedColumnFormula>C53*(1+$C$7)^-(B53-1)</calculatedColumnFormula>
    </tableColumn>
    <tableColumn id="3" xr3:uid="{90BD78C4-F1B1-48FD-9BBA-6910903D0141}" name="$/kW-yr" dataDxfId="444" dataCellStyle="Normal 23">
      <calculatedColumnFormula>D53*(1+$C$7)^-(B53-1)</calculatedColumnFormula>
    </tableColumn>
    <tableColumn id="4" xr3:uid="{6D2E97D2-4C1D-4A48-884A-323DB0C5A2FE}" name="$/kWh " dataDxfId="443" dataCellStyle="Normal 23">
      <calculatedColumnFormula>E53*(1+$C$9)^-(B53-1)</calculatedColumnFormula>
    </tableColumn>
    <tableColumn id="5" xr3:uid="{06DA1FE7-5501-4970-A746-2B0992933A9E}" name="$/kW-yr " dataDxfId="442" dataCellStyle="Normal 23">
      <calculatedColumnFormula>F53*(1+$C$9)^-(B53-1)</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6D43890-C105-486E-95D6-248775A948DB}" name="STDWATER_N" displayName="STDWATER_N" ref="L2:AP9" totalsRowShown="0" headerRowDxfId="441" dataDxfId="439" headerRowBorderDxfId="440" tableBorderDxfId="438" totalsRowBorderDxfId="437">
  <autoFilter ref="L2:AP9" xr:uid="{B62B0F54-AC46-4031-B365-B4A786381198}"/>
  <sortState xmlns:xlrd2="http://schemas.microsoft.com/office/spreadsheetml/2017/richdata2" ref="L3:AP15">
    <sortCondition ref="AF2:AF15"/>
  </sortState>
  <tableColumns count="31">
    <tableColumn id="8" xr3:uid="{B7933C98-0ACF-4D0A-B675-58A4A4B50B7D}" name="Measure Number" dataDxfId="436"/>
    <tableColumn id="9" xr3:uid="{A1DA7B06-9442-4B63-A4A5-95EBA3F28033}" name="Measure Name" dataDxfId="435"/>
    <tableColumn id="2" xr3:uid="{831BC5CD-5BB0-42ED-81FB-5095335F1C5A}" name="Primary Key" dataDxfId="434"/>
    <tableColumn id="1" xr3:uid="{5AD308CF-FEA4-408B-B4B7-542A93495CAE}" name="TRM Measure Name" dataDxfId="433"/>
    <tableColumn id="3" xr3:uid="{BE37DD20-9BF6-4F2A-A6EB-13950F82E35C}" name="Program" dataDxfId="432"/>
    <tableColumn id="4" xr3:uid="{A5D0245D-D040-4148-B06A-A62EDD6F614A}" name="End Use" dataDxfId="431"/>
    <tableColumn id="10" xr3:uid="{A1B3DA39-0020-4FD7-B3CD-DCC7B389BB2E}" name="Current Unit" dataDxfId="430"/>
    <tableColumn id="11" xr3:uid="{1D2461B3-308F-45AC-9F79-BF5F76D50913}" name="Base Incentive" dataDxfId="429"/>
    <tableColumn id="30" xr3:uid="{8E5BD655-812C-4167-89F9-05DEBEE16E77}" name="Bonus Incentive" dataDxfId="428"/>
    <tableColumn id="12" xr3:uid="{697449F1-1136-4FBA-9E56-B5396A4406E1}" name="Incremental Measure Cost ($/Unit)" dataDxfId="427"/>
    <tableColumn id="13" xr3:uid="{34306E48-3331-496A-A835-DBCA868DEDE1}" name="Electric Energy Savings (Annual kWh/unit)" dataDxfId="426"/>
    <tableColumn id="18" xr3:uid="{879A31E0-BD28-42C2-AC42-B84EB34E803A}" name="Coincident Peak Demand Savings (kW/unit)" dataDxfId="425"/>
    <tableColumn id="22" xr3:uid="{CB2F7C5B-E814-4988-9A57-E9209E6DF831}" name="Measure Life (Years)" dataDxfId="424"/>
    <tableColumn id="23" xr3:uid="{BB8A9AA9-6843-4DB4-B2F1-8B33E818C24A}" name="Efficient Definition" dataDxfId="423"/>
    <tableColumn id="6" xr3:uid="{C67B860F-8444-475E-B85B-7A8FDAAB3AA3}" name="Measure Efficiency Value" dataDxfId="422"/>
    <tableColumn id="26" xr3:uid="{A2FC9039-07E4-45A2-8E3A-566601011E10}" name="Baseline Definition" dataDxfId="421"/>
    <tableColumn id="7" xr3:uid="{F2FBDCE2-D16B-493A-A405-5A6A2E12251A}" name="Baseline Efficiency Value" dataDxfId="420"/>
    <tableColumn id="15" xr3:uid="{BDF4CEFB-D5F9-420B-A202-AED4DA61FB40}" name="Column1" dataDxfId="419"/>
    <tableColumn id="16" xr3:uid="{D3D44A78-1160-48E0-AF4B-7BFEABD07B17}" name="Column12" dataDxfId="418"/>
    <tableColumn id="31" xr3:uid="{303E6E10-4151-4E37-8892-73751AA09415}" name="Effective Start Date" dataDxfId="417"/>
    <tableColumn id="5" xr3:uid="{23618229-70C0-4F6E-BB1B-F26640C5FA6F}" name="Order" dataDxfId="416"/>
    <tableColumn id="25" xr3:uid="{ADD28527-C56F-4EA4-8184-BE0FFCC1B7F5}" name="Reporting Methodology" dataDxfId="415"/>
    <tableColumn id="17" xr3:uid="{0001C21D-284D-4FA1-9B2A-06A52E7758C3}" name="Min Unit" dataDxfId="414"/>
    <tableColumn id="19" xr3:uid="{F9168960-8159-47F5-ADFE-BB4D12C751EC}" name="Max Unit" dataDxfId="413"/>
    <tableColumn id="20" xr3:uid="{2D028283-73A8-4D1F-80FC-55A6A5F877A1}" name="Column15" dataDxfId="412"/>
    <tableColumn id="21" xr3:uid="{B38911CC-E0D1-48E7-A9AB-6E2C5B9D468A}" name="Column16" dataDxfId="411"/>
    <tableColumn id="24" xr3:uid="{FC368584-B57D-4B0F-8FB0-9171DFA8F137}" name="Column17" dataDxfId="410"/>
    <tableColumn id="14" xr3:uid="{C02BF034-9D5C-408C-8D06-D8E0FDF5C173}" name="Column18" dataDxfId="409"/>
    <tableColumn id="27" xr3:uid="{1372237D-0595-4122-9EB1-C422EBF19A09}" name="Column19" dataDxfId="408"/>
    <tableColumn id="28" xr3:uid="{F0E8C986-1815-4E21-90AA-DCD80556E14F}" name="Column20" dataDxfId="407"/>
    <tableColumn id="29" xr3:uid="{F4E30980-619F-4223-A6FB-EFCE4F137864}" name="Column21" dataDxfId="406"/>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B338261-F308-45AA-B533-ACFFDFC8E51C}" name="STDREFRIG_N" displayName="STDREFRIG_N" ref="L17:AP19" totalsRowShown="0" headerRowDxfId="405" dataDxfId="403" headerRowBorderDxfId="404" tableBorderDxfId="402" totalsRowBorderDxfId="401">
  <autoFilter ref="L17:AP19" xr:uid="{40094EE7-2FD4-4DBA-9BD1-8B9135CDEF17}"/>
  <sortState xmlns:xlrd2="http://schemas.microsoft.com/office/spreadsheetml/2017/richdata2" ref="L18:AM19">
    <sortCondition ref="L53:L60"/>
  </sortState>
  <tableColumns count="31">
    <tableColumn id="4" xr3:uid="{895A885C-1D95-4C7C-B66A-9C0E6C9FC691}" name="Measure Number" dataDxfId="400"/>
    <tableColumn id="6" xr3:uid="{E2DF1F8E-3C5D-4BBA-B47F-3FA038E370C7}" name="Measure Name" dataDxfId="399"/>
    <tableColumn id="3" xr3:uid="{2AC8D063-034B-40CC-9652-ADF8A3B8F577}" name="Primary Key" dataDxfId="398"/>
    <tableColumn id="2" xr3:uid="{AB1BFA7A-62F4-4BD5-A6FB-EE5FB21AFF41}" name="TRM Measure Name" dataDxfId="397"/>
    <tableColumn id="1" xr3:uid="{F96B07F0-36C7-40FE-A25E-A1447D0350D3}" name="Program" dataDxfId="396"/>
    <tableColumn id="5" xr3:uid="{59C7EDCC-FE6E-42DD-8FB3-927AC18FB67C}" name="End Use" dataDxfId="395"/>
    <tableColumn id="11" xr3:uid="{52C2642B-0E2C-47E3-8EAB-CC9C494EDF3D}" name="Current Unit" dataDxfId="394"/>
    <tableColumn id="12" xr3:uid="{A7FC0144-45D0-48CF-95CB-04B095951913}" name="Base Incentive" dataDxfId="393"/>
    <tableColumn id="26" xr3:uid="{36B7E5BB-640E-42A7-B75D-7757DE87EA8B}" name="Bonus Incentive" dataDxfId="392"/>
    <tableColumn id="13" xr3:uid="{BE913A75-FD26-41F6-995B-36ACC990A55D}" name="Incremental Measure Cost ($/Unit)" dataDxfId="391" dataCellStyle="Currency"/>
    <tableColumn id="14" xr3:uid="{4C838DC5-7864-4527-833A-CBE380682F74}" name="Electric Energy Savings (Annual kWh/unit)" dataDxfId="390" dataCellStyle="Currency"/>
    <tableColumn id="19" xr3:uid="{5FB43C6D-D5AE-4B93-84B3-75C97D735440}" name="Coincident Peak Demand Savings (kW/unit)" dataDxfId="389" dataCellStyle="Currency"/>
    <tableColumn id="23" xr3:uid="{6E44AB93-E378-4C8C-8EA9-22E49A9C6069}" name="Measure Life (Years)" dataDxfId="388"/>
    <tableColumn id="24" xr3:uid="{A1A521C0-3475-4108-BB85-47CE6C09688D}" name="Efficient Definition" dataDxfId="387"/>
    <tableColumn id="25" xr3:uid="{CFC74C66-9DE1-4853-A4CF-626818677B6E}" name="Measure Efficiency Value" dataDxfId="386"/>
    <tableColumn id="27" xr3:uid="{0AC29BAA-B3DB-47B8-B526-CE442DDBF212}" name="Baseline Definition" dataDxfId="385"/>
    <tableColumn id="28" xr3:uid="{B6167764-E076-498B-94AA-C7D16118AEB8}" name="Baseline Efficiency Value" dataDxfId="384"/>
    <tableColumn id="9" xr3:uid="{A028CD64-B860-45E8-9786-1B8345F819D2}" name="Column1" dataDxfId="383"/>
    <tableColumn id="10" xr3:uid="{C52257C6-2340-401D-BA36-D6127BB804FB}" name="Column12" dataDxfId="382"/>
    <tableColumn id="32" xr3:uid="{0315DC71-1D74-4B7F-BF7F-F0AC9B682735}" name="Effective Start Date" dataDxfId="381"/>
    <tableColumn id="8" xr3:uid="{BD13412B-AC31-4382-8802-1AC690318FC6}" name="Order" dataDxfId="380" dataCellStyle="Currency"/>
    <tableColumn id="21" xr3:uid="{0BBD0F44-06A5-4D93-874F-68459830B9FC}" name="Reporting Methodology" dataDxfId="379" dataCellStyle="Currency"/>
    <tableColumn id="15" xr3:uid="{C080DF3E-7520-4723-BB2B-E87369F1515A}" name="Column13" dataDxfId="378"/>
    <tableColumn id="16" xr3:uid="{338648E2-537D-4354-BD12-1E1DB887C958}" name="Column14" dataDxfId="377"/>
    <tableColumn id="17" xr3:uid="{C043F6F4-1D44-40E9-8109-F6D5EA9B6933}" name="Column15" dataDxfId="376"/>
    <tableColumn id="18" xr3:uid="{79E8CF45-F2AF-4BA8-A658-2D214D7DC751}" name="Column16" dataDxfId="375"/>
    <tableColumn id="20" xr3:uid="{554CF747-24E2-40DC-8F1A-D2684A8BF2D4}" name="Column17" dataDxfId="374"/>
    <tableColumn id="7" xr3:uid="{D9CDA4EE-452C-4A02-BAD3-5508D62148B6}" name="Column18" dataDxfId="373"/>
    <tableColumn id="22" xr3:uid="{A14C25F1-94DD-4761-B155-997ECD49CB16}" name="Column19" dataDxfId="372"/>
    <tableColumn id="29" xr3:uid="{9EA7B535-5D34-4FB4-A644-D1DD06DFA621}" name="Column20" dataDxfId="371"/>
    <tableColumn id="30" xr3:uid="{C305F7D3-E3DC-436B-BE22-6BE30C81AF48}" name="Column21" dataDxfId="370"/>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DA6A267-1D16-429D-9E6C-4243A5C3D5BE}" name="STDHVAC_N" displayName="STDHVAC_N" ref="L21:AP47" totalsRowShown="0" headerRowDxfId="369" dataDxfId="367" headerRowBorderDxfId="368" tableBorderDxfId="366" totalsRowBorderDxfId="365">
  <autoFilter ref="L21:AP47" xr:uid="{52114A58-2D6C-43ED-A3D8-110D605CCAE0}"/>
  <sortState xmlns:xlrd2="http://schemas.microsoft.com/office/spreadsheetml/2017/richdata2" ref="L22:AP47">
    <sortCondition ref="AF21:AF47"/>
  </sortState>
  <tableColumns count="31">
    <tableColumn id="4" xr3:uid="{A31C01CF-BB27-4811-98DF-4871C4D9DAE1}" name="Measure Number" dataDxfId="364"/>
    <tableColumn id="6" xr3:uid="{E9E885FD-242E-4B6A-AEDF-457BFE6B6B27}" name="Measure Name" dataDxfId="363"/>
    <tableColumn id="3" xr3:uid="{4E03518C-7909-48CB-A1C5-6A0D28F741F0}" name="Primary Key" dataDxfId="362"/>
    <tableColumn id="2" xr3:uid="{E3370444-0C27-41F1-A75D-A1D8D926BD5F}" name="TRM Measure Name" dataDxfId="361"/>
    <tableColumn id="1" xr3:uid="{69D39B97-0AAC-4911-9207-64631676CAA1}" name="Program" dataDxfId="360"/>
    <tableColumn id="5" xr3:uid="{FDA35855-AE16-4B59-BB55-4E6A1AD702C1}" name="End Use" dataDxfId="359"/>
    <tableColumn id="11" xr3:uid="{6483D06C-A245-4406-B3B9-6EEC9415E174}" name="Current Unit" dataDxfId="358"/>
    <tableColumn id="12" xr3:uid="{80E3F26C-2402-4F72-9474-5EEE855D68B0}" name="Base Incentive" dataDxfId="357"/>
    <tableColumn id="30" xr3:uid="{552DB7D4-BE39-489A-95EA-7D81AA6865DE}" name="Bonus Incentive" dataDxfId="356" dataCellStyle="Currency"/>
    <tableColumn id="13" xr3:uid="{9A266C94-71D3-4102-AFBA-BC2772C1C939}" name="Incremental Measure Cost ($/Unit)" dataDxfId="355" dataCellStyle="Currency"/>
    <tableColumn id="14" xr3:uid="{E48F3078-24E2-4443-B221-B9657342FB8D}" name="Electric Energy Savings (Annual kWh/unit)" dataDxfId="354" dataCellStyle="Currency"/>
    <tableColumn id="19" xr3:uid="{0E787918-67E5-4DFF-94B6-164F09440F35}" name="Coincident Peak Demand Savings (kW/unit)" dataDxfId="353" dataCellStyle="Currency"/>
    <tableColumn id="23" xr3:uid="{D223C9B3-00B8-4475-8B9D-DB7F9F92B916}" name="Measure Life (Years)" dataDxfId="352"/>
    <tableColumn id="24" xr3:uid="{615258D6-7E05-4852-99C6-7860549CCE4E}" name="Efficient Definition" dataDxfId="351"/>
    <tableColumn id="25" xr3:uid="{F27DD6A0-31F4-47CA-BEF5-98044AAAD3FC}" name="Measure Efficiency Value" dataDxfId="350"/>
    <tableColumn id="27" xr3:uid="{E6EC3CB3-30D9-440C-86A8-F2003A5E878C}" name="Baseline Definition" dataDxfId="349"/>
    <tableColumn id="28" xr3:uid="{A268FF4A-9301-4D97-BF6D-D19967AB45ED}" name="Baseline Efficiency Value" dataDxfId="348"/>
    <tableColumn id="18" xr3:uid="{1C5B06B7-4768-4E42-B446-BBDCC4A97261}" name="Eff Unit 2" dataDxfId="347"/>
    <tableColumn id="20" xr3:uid="{F56D4FC6-CD97-4E43-8A79-CF377F73A04E}" name="Base Efficiency 2" dataDxfId="346">
      <calculatedColumnFormula>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calculatedColumnFormula>
    </tableColumn>
    <tableColumn id="32" xr3:uid="{AAF8C0FA-B680-4672-A200-198FC6A26B26}" name="Effective Start Date" dataDxfId="345"/>
    <tableColumn id="8" xr3:uid="{44CF6401-251B-4AD9-9E75-6775D8D9BB64}" name="Order" dataDxfId="344" dataCellStyle="Currency"/>
    <tableColumn id="21" xr3:uid="{3A4C1812-5A2C-4539-B90B-E25B42422A73}" name="Reporting Methodology" dataDxfId="343" dataCellStyle="Currency"/>
    <tableColumn id="16" xr3:uid="{5E3F4802-A7DF-4356-99D6-4BFBB6D4D4A2}" name="EFLHcool" dataDxfId="342"/>
    <tableColumn id="17" xr3:uid="{9B7828D7-CB50-440A-BB99-309641362DA3}" name="EFLHheat" dataDxfId="341"/>
    <tableColumn id="7" xr3:uid="{CB2C1EA5-7EA8-4648-8007-A4F68C972924}" name="Eff Unit 1" dataDxfId="340"/>
    <tableColumn id="9" xr3:uid="{9418AF2C-2F73-4494-BEC3-1ECCC670544F}" name="Base Efficiency 1" dataDxfId="339">
      <calculatedColumnFormula>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calculatedColumnFormula>
    </tableColumn>
    <tableColumn id="10" xr3:uid="{DCE0572C-7E1E-4171-A4D3-9EF1FE358ED3}" name="Min Tons" dataDxfId="338"/>
    <tableColumn id="15" xr3:uid="{9C4BF5C3-DBF6-423B-8F8A-9F6AC48C2163}" name="Max Tons" dataDxfId="337"/>
    <tableColumn id="22" xr3:uid="{B223D7A4-4500-45FC-85BB-F8A52C28EBF2}" name="Eff Unit 3" dataDxfId="336"/>
    <tableColumn id="26" xr3:uid="{052D0B27-5FA7-4F98-B626-7217B34C5F33}" name="Base Efficiency 3" dataDxfId="335">
      <calculatedColumnFormula>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calculatedColumnFormula>
    </tableColumn>
    <tableColumn id="29" xr3:uid="{5B3CA8D6-E9C4-4090-9F10-858DED9C10C1}" name="Column1" dataDxfId="334"/>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E1EA24E-C30C-4BD8-948A-035329AF7E50}" name="NCHVACCODE_PLC" displayName="NCHVACCODE_PLC" ref="B2:I28" totalsRowShown="0" headerRowDxfId="333" dataDxfId="332">
  <autoFilter ref="B2:I28" xr:uid="{5E9EB2BF-449E-4B9E-9964-8C2BA4177906}"/>
  <tableColumns count="8">
    <tableColumn id="1" xr3:uid="{7B9B84A8-0B21-4C8E-B5E2-9595266E99ED}" name="Measure Name" dataDxfId="331"/>
    <tableColumn id="2" xr3:uid="{8C217322-0372-4ACC-AF1C-74590BA0C157}" name="Efficiency Type" dataDxfId="330"/>
    <tableColumn id="3" xr3:uid="{76C493A0-764E-4822-9442-A0C1AD96BEB5}" name="IECC 2009" dataDxfId="329"/>
    <tableColumn id="4" xr3:uid="{142992F7-6912-4DE8-B041-2A3A7FC57684}" name="IECC 2012" dataDxfId="328"/>
    <tableColumn id="5" xr3:uid="{9089D26F-88FF-4036-BB22-3408F6A5DC9D}" name="IECC 2015" dataDxfId="327"/>
    <tableColumn id="6" xr3:uid="{7F1E9F0F-409C-43AE-8301-E3E7756CD60B}" name="IECC 2018" dataDxfId="326"/>
    <tableColumn id="7" xr3:uid="{14D43DB8-5FA9-40B0-859E-EC24A88EF570}" name="IECC 2021" dataDxfId="325"/>
    <tableColumn id="8" xr3:uid="{C65836C7-BAA9-4457-9840-4CF807DB53B6}" name="DOE" dataDxfId="324"/>
  </tableColumns>
  <tableStyleInfo name="TableStyleMedium7"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5BDF374-A7C9-49CA-8A21-CC8DC07F6344}" name="NCHVACCODE_Other" displayName="NCHVACCODE_Other" ref="B31:I57" totalsRowShown="0" headerRowDxfId="323" dataDxfId="322">
  <autoFilter ref="B31:I57" xr:uid="{9C877139-869F-424C-9DB4-D8973DE2A478}"/>
  <tableColumns count="8">
    <tableColumn id="1" xr3:uid="{643A681A-90E3-4E76-BD70-C421DF15A67A}" name="Measure Name" dataDxfId="321"/>
    <tableColumn id="2" xr3:uid="{CB3E24E3-BE7F-4A31-A24F-D4C49D32BA75}" name="Efficiency Type" dataDxfId="320"/>
    <tableColumn id="3" xr3:uid="{D5E8B53C-4CB2-41FD-ACFB-83F44FAB3123}" name="IECC 2009" dataDxfId="319"/>
    <tableColumn id="4" xr3:uid="{080A71AE-F6FD-4D51-B000-75B48D7427C8}" name="IECC 2012" dataDxfId="318"/>
    <tableColumn id="5" xr3:uid="{1526B4D7-CC1E-4488-A945-7397E317FBF1}" name="IECC 2015" dataDxfId="317"/>
    <tableColumn id="6" xr3:uid="{9CFA3A63-990E-4980-B5F0-8627E90AB9B5}" name="IECC 2018" dataDxfId="316"/>
    <tableColumn id="7" xr3:uid="{F3E3F450-FB85-4DE5-8BBB-4B498D548C09}" name="IECC 2021" dataDxfId="315"/>
    <tableColumn id="8" xr3:uid="{B9889118-446E-48A6-8C2A-86855CC80B82}" name="DOE" dataDxfId="314"/>
  </tableColumns>
  <tableStyleInfo name="TableStyleMedium7"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2AC8749-EE9D-4A32-A701-ABD2C78FD077}" name="NCHVACCODE_Detail" displayName="NCHVACCODE_Detail" ref="B60:I69" totalsRowShown="0" headerRowDxfId="313" dataDxfId="312">
  <autoFilter ref="B60:I69" xr:uid="{E4D1576D-381A-47A5-B8BA-574B183D46EF}"/>
  <tableColumns count="8">
    <tableColumn id="1" xr3:uid="{BD63F6C1-FBE3-4722-97E7-44D9B8E74F4C}" name="Measure Name" dataDxfId="311"/>
    <tableColumn id="2" xr3:uid="{A0A69401-C183-4E25-AB9E-26C17FF9862F}" name="Efficiency Type" dataDxfId="310"/>
    <tableColumn id="3" xr3:uid="{766F5613-82F9-4DA3-ABA7-6068644CCA67}" name="IECC 2009" dataDxfId="309"/>
    <tableColumn id="4" xr3:uid="{C0F95D94-1D03-4235-A238-3C8DF4234699}" name="IECC 2012" dataDxfId="308"/>
    <tableColumn id="5" xr3:uid="{343D691B-904D-4E61-A427-CD105C14AC3F}" name="IECC 2015" dataDxfId="307"/>
    <tableColumn id="6" xr3:uid="{FCAF414D-CE28-404F-8C4C-83CF9AB63D5B}" name="IECC 2018" dataDxfId="306"/>
    <tableColumn id="7" xr3:uid="{DDF7CDAC-1DCD-4B5E-9470-0B314492D017}" name="IECC 2021" dataDxfId="305"/>
    <tableColumn id="8" xr3:uid="{F2F1AEEB-245D-43CF-8BF8-EFA9EE2ABE85}" name="DOE" dataDxfId="304"/>
  </tableColumns>
  <tableStyleInfo name="TableStyleMedium7"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E33D0050-A015-4857-9B9C-598F1D1DFC3D}" name="STDHVAC_N_Ref" displayName="STDHVAC_N_Ref" ref="AR21:AW47" totalsRowShown="0" dataDxfId="303">
  <autoFilter ref="AR21:AW47" xr:uid="{E33D0050-A015-4857-9B9C-598F1D1DFC3D}"/>
  <sortState xmlns:xlrd2="http://schemas.microsoft.com/office/spreadsheetml/2017/richdata2" ref="AR22:AW47">
    <sortCondition ref="AW21:AW47"/>
  </sortState>
  <tableColumns count="6">
    <tableColumn id="1" xr3:uid="{E5AEAECE-0A39-438A-9726-0A1EA262302F}" name="Primary Key" dataDxfId="302"/>
    <tableColumn id="2" xr3:uid="{7AADFB36-B4A4-4B3D-AC14-4F08582FBF42}" name="Field1" dataDxfId="301"/>
    <tableColumn id="3" xr3:uid="{3FFC010B-AFCB-44C0-B9D7-F81A1E5941BD}" name="Field2" dataDxfId="300"/>
    <tableColumn id="4" xr3:uid="{4088D675-E861-4588-9CCA-C8F22BB8EB0C}" name="Field3" dataDxfId="299"/>
    <tableColumn id="5" xr3:uid="{06A8BA71-C373-425D-9310-56CA633F89E5}" name="Field4" dataDxfId="298"/>
    <tableColumn id="7" xr3:uid="{34A635B6-A6DA-4808-8359-BEB4FC1341CF}" name="Order" dataDxfId="297"/>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BB0905B2-7C9F-4F19-B3C8-BB1563FC63A2}" name="CMEHVAC_N" displayName="CMEHVAC_N" ref="B6:Q28" totalsRowShown="0" headerRowDxfId="296" dataDxfId="294" headerRowBorderDxfId="295" tableBorderDxfId="293" totalsRowBorderDxfId="292">
  <autoFilter ref="B6:Q28" xr:uid="{84706400-2028-4F88-8A93-7FAF0FF6C21A}"/>
  <tableColumns count="16">
    <tableColumn id="1" xr3:uid="{D7ACA4DA-4E2D-48AB-90B8-9E981E681400}" name="Measure Number" dataDxfId="291"/>
    <tableColumn id="2" xr3:uid="{2D92C147-77C8-4D18-8054-26AD27309C76}" name="Project Category" dataDxfId="290"/>
    <tableColumn id="3" xr3:uid="{9C65B038-AF73-408B-8812-D420610B2DCA}" name="Proj Desc 1" dataDxfId="289"/>
    <tableColumn id="4" xr3:uid="{58E02475-7926-4E35-9A2E-DA4CED209CF8}" name="Proj Desc 2" dataDxfId="288"/>
    <tableColumn id="5" xr3:uid="{735518F3-7C03-4D0A-8C4E-3581C7721616}" name="Inc Rate" dataDxfId="287"/>
    <tableColumn id="6" xr3:uid="{8734F2D4-E874-42E4-B40E-E5F5CBF0CE1A}" name="EUL" dataDxfId="286"/>
    <tableColumn id="7" xr3:uid="{221FAC52-6992-4B16-81A8-6EEB29C99B91}" name="Measure Group" dataDxfId="285"/>
    <tableColumn id="8" xr3:uid="{D25A472C-C019-417B-BDAD-C860A4796CA6}" name="Measure Subgroup 1" dataDxfId="284"/>
    <tableColumn id="9" xr3:uid="{7D7F5144-EFD0-4C64-8248-A1667013BAD5}" name="Measure Subgroup 2" dataDxfId="283"/>
    <tableColumn id="10" xr3:uid="{A62A2AC5-3EE1-43FA-AFEF-73C48E5FDC3C}" name="Units" dataDxfId="282"/>
    <tableColumn id="11" xr3:uid="{EC4F2CC0-5622-4AC7-A670-6D7BC4FD72EE}" name="Order" dataDxfId="281"/>
    <tableColumn id="12" xr3:uid="{1762541F-F1B6-4D0C-B561-FF10E4B25465}" name="End Use Category" dataDxfId="280"/>
    <tableColumn id="13" xr3:uid="{4D692531-F491-4156-A00C-1B5ADC7B25F9}" name="Factor" dataDxfId="279"/>
    <tableColumn id="14" xr3:uid="{0415AE60-9206-4E9A-A57D-3F54385D8151}" name="Cost Basis" dataDxfId="278"/>
    <tableColumn id="15" xr3:uid="{9132EAC0-1686-4CC7-B7A9-E9D3FEF74EEA}" name="Application Tab" dataDxfId="277"/>
    <tableColumn id="16" xr3:uid="{377FF2B9-17DE-4662-85AD-3B2C583063D8}" name="Unit of Measure" dataDxfId="27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B6BACD5-C6D4-4E2D-ACC6-D991AB1DD2E3}" name="CMECOOK_N" displayName="CMECOOK_N" ref="B30:Q38" totalsRowShown="0" headerRowDxfId="275" dataDxfId="273" headerRowBorderDxfId="274" tableBorderDxfId="272" totalsRowBorderDxfId="271">
  <autoFilter ref="B30:Q38" xr:uid="{47A98770-6B02-4E68-968F-179062B748E2}"/>
  <tableColumns count="16">
    <tableColumn id="1" xr3:uid="{6375D4BF-9444-45A1-964F-117FA509BF5C}" name="Measure Number" dataDxfId="270"/>
    <tableColumn id="2" xr3:uid="{CF5F67B5-1D17-4CFD-84B9-EC5030078442}" name="Project Category" dataDxfId="269"/>
    <tableColumn id="3" xr3:uid="{DF5BA426-45B3-4A36-8C92-11C2211C764A}" name="Proj Desc 1" dataDxfId="268"/>
    <tableColumn id="4" xr3:uid="{E86A36F8-698C-419A-BDD7-A89E80551CF9}" name="Proj Desc 2" dataDxfId="267"/>
    <tableColumn id="5" xr3:uid="{EA88D049-B6ED-4840-B759-F0E14FE8869A}" name="Inc Rate" dataDxfId="266"/>
    <tableColumn id="6" xr3:uid="{09DB14D2-61A3-4D32-A7A6-50825D503CD1}" name="EUL" dataDxfId="265"/>
    <tableColumn id="7" xr3:uid="{A7C891D5-219B-4144-A8C8-318052947B1E}" name="Measure Group" dataDxfId="264"/>
    <tableColumn id="8" xr3:uid="{781B3B21-58D6-470D-BDFC-492BEF8A931D}" name="Measure Subgroup 1" dataDxfId="263"/>
    <tableColumn id="9" xr3:uid="{F3DC8A84-9EEC-4824-B5C4-8B16DFE074C8}" name="Measure Subgroup 2" dataDxfId="262"/>
    <tableColumn id="10" xr3:uid="{7BF2167D-E709-4C8C-B5D7-E86E02C2A59F}" name="Units" dataDxfId="261"/>
    <tableColumn id="11" xr3:uid="{F5B2ADD6-435C-481C-98BF-5AB172F7D03E}" name="Order" dataDxfId="260"/>
    <tableColumn id="12" xr3:uid="{EE107F90-E7BB-4967-9C4B-D8457779231A}" name="End Use Category" dataDxfId="259"/>
    <tableColumn id="13" xr3:uid="{D0E1203F-E51B-4A4D-8F49-102701EF2DF0}" name="Factor" dataDxfId="258"/>
    <tableColumn id="14" xr3:uid="{42EC5495-6614-4B95-A4C6-0F4110A5FBC6}" name="Cost Basis" dataDxfId="257"/>
    <tableColumn id="15" xr3:uid="{1A085979-93BB-4C9D-ADF7-15D79643BFC9}" name="Application Tab" dataDxfId="256"/>
    <tableColumn id="16" xr3:uid="{9D29765F-FDFD-436F-8972-6EAB5910EF65}" name="Unit of Measure" dataDxfId="255"/>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91953975-FBCD-4CF1-A85F-C63520391AF0}" name="CMECOMPAIR_N" displayName="CMECOMPAIR_N" ref="B41:Q49" totalsRowShown="0" headerRowDxfId="254" dataDxfId="252" headerRowBorderDxfId="253" tableBorderDxfId="251" totalsRowBorderDxfId="250">
  <autoFilter ref="B41:Q49" xr:uid="{0B8FA881-3F12-492A-8C68-A6877AFC1EA5}"/>
  <tableColumns count="16">
    <tableColumn id="1" xr3:uid="{443C82C7-FF5C-48E3-95A5-CFBB172DEBC6}" name="Measure Number" dataDxfId="249"/>
    <tableColumn id="2" xr3:uid="{6A7C9CDC-7D74-4E5D-9809-1A846DECEEF6}" name="Project Category" dataDxfId="248"/>
    <tableColumn id="3" xr3:uid="{C5FD3272-7AE1-4652-B07E-7650D8FB826F}" name="Proj Desc 1" dataDxfId="247"/>
    <tableColumn id="4" xr3:uid="{A7FBC741-839F-4188-A002-4DA2540419B8}" name="Proj Desc 2" dataDxfId="246"/>
    <tableColumn id="5" xr3:uid="{A089B5EB-8049-4C1B-9143-B401F123E4C9}" name="Inc Rate" dataDxfId="245"/>
    <tableColumn id="6" xr3:uid="{87C7CBBB-2D05-4178-A8A6-70EA7F07D3FB}" name="EUL" dataDxfId="244"/>
    <tableColumn id="7" xr3:uid="{DF887C31-B9E6-45B6-8E81-E2CFFBE40DF6}" name="Measure Group" dataDxfId="243"/>
    <tableColumn id="8" xr3:uid="{AED755FC-A672-460A-AA98-B82E04E11855}" name="Measure Subgroup 1" dataDxfId="242"/>
    <tableColumn id="9" xr3:uid="{2856D985-B1B0-4EAB-98EB-4460A50CC36B}" name="Measure Subgroup 2" dataDxfId="241"/>
    <tableColumn id="10" xr3:uid="{062C3CBF-3705-4029-953E-3D4932ABFCB1}" name="Units" dataDxfId="240"/>
    <tableColumn id="11" xr3:uid="{D3522B9F-3DBC-4F57-87A7-186FAFE86B4C}" name="Order" dataDxfId="239"/>
    <tableColumn id="12" xr3:uid="{0BEEA1FA-CF53-4722-9CED-864F170362A3}" name="End Use Category" dataDxfId="238"/>
    <tableColumn id="13" xr3:uid="{FA2E0380-C2BB-4A81-AC41-C366D475F127}" name="Factor" dataDxfId="237"/>
    <tableColumn id="14" xr3:uid="{4E8C50F6-959F-4D1B-8262-3ED65708DC8C}" name="Cost Basis" dataDxfId="236"/>
    <tableColumn id="15" xr3:uid="{00D22EC7-9ACD-4E58-931A-EBB3AA83F4A4}" name="Application Tab" dataDxfId="235"/>
    <tableColumn id="16" xr3:uid="{CE51A19B-D2A5-448E-8959-86F43BFEFB82}" name="Unit of Measure" dataDxfId="234"/>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A8A94A6C-627E-4CA2-BC9E-E95FEA937F8F}" name="CMEMISC_N" displayName="CMEMISC_N" ref="B75:Q81" totalsRowShown="0" headerRowDxfId="233" dataDxfId="231" headerRowBorderDxfId="232" tableBorderDxfId="230" totalsRowBorderDxfId="229">
  <autoFilter ref="B75:Q81" xr:uid="{D9C89AA1-9D5F-4378-B860-2429E8A81825}"/>
  <tableColumns count="16">
    <tableColumn id="1" xr3:uid="{D80F4319-9B7B-499F-8BC9-CF86D9E50FCC}" name="Measure Number" dataDxfId="228"/>
    <tableColumn id="2" xr3:uid="{9E047ECE-29D0-4C72-B140-F686172814A4}" name="Project Category" dataDxfId="227"/>
    <tableColumn id="3" xr3:uid="{333EAC83-5BF3-4F9E-9469-946866753699}" name="Proj Desc 1" dataDxfId="226"/>
    <tableColumn id="4" xr3:uid="{7752B025-517C-4236-851C-1A8CBF8BA815}" name="Proj Desc 2" dataDxfId="225"/>
    <tableColumn id="5" xr3:uid="{C00B7C0A-9AC4-430F-B9F5-20802192D1C1}" name="Inc Rate" dataDxfId="224"/>
    <tableColumn id="6" xr3:uid="{FA7A4E8E-B260-414F-AD13-5B32EC8F0894}" name="EUL" dataDxfId="223"/>
    <tableColumn id="7" xr3:uid="{79CB9AF5-2D7D-46F0-B21C-CAB58A73DFFF}" name="Measure Group" dataDxfId="222"/>
    <tableColumn id="8" xr3:uid="{63957F6D-8227-4FAB-B43C-18638B00B279}" name="Measure Subgroup 1" dataDxfId="221"/>
    <tableColumn id="9" xr3:uid="{AC3361AA-6D82-4C66-8B43-301B2E8D542D}" name="Measure Subgroup 2" dataDxfId="220"/>
    <tableColumn id="10" xr3:uid="{80E76B2B-C646-49F4-9204-B45D60139F8D}" name="Units" dataDxfId="219"/>
    <tableColumn id="11" xr3:uid="{2F50D37A-9FBE-4404-B9AF-A7935EB7F616}" name="Order" dataDxfId="218"/>
    <tableColumn id="12" xr3:uid="{775EFD7A-40BF-4EE1-AC96-EEE43EC25843}" name="End Use Category" dataDxfId="217"/>
    <tableColumn id="13" xr3:uid="{465C196E-071C-4E87-B8A1-7DC04AAA6B0D}" name="Factor" dataDxfId="216"/>
    <tableColumn id="14" xr3:uid="{F16B9ACF-8332-4C54-91A1-399B91634013}" name="Cost Basis" dataDxfId="215"/>
    <tableColumn id="15" xr3:uid="{67F82EE2-7360-4B9E-9D79-DEB6D6F6E87D}" name="Application Tab" dataDxfId="214"/>
    <tableColumn id="16" xr3:uid="{7D315714-5DCB-4908-823B-88D82A2A98EB}" name="Unit of Measure" dataDxfId="213"/>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C2C2398D-356D-4858-ADEE-BD14CD31F268}" name="CMEREFRI_N" displayName="CMEREFRI_N" ref="B65:Q72" totalsRowShown="0" headerRowDxfId="212" dataDxfId="210" headerRowBorderDxfId="211" tableBorderDxfId="209" totalsRowBorderDxfId="208">
  <autoFilter ref="B65:Q72" xr:uid="{87C5FED5-9689-4072-8CC9-C61968F778A0}"/>
  <tableColumns count="16">
    <tableColumn id="1" xr3:uid="{24762010-3C26-45AA-9C9F-E6C160E65904}" name="Measure Number" dataDxfId="207"/>
    <tableColumn id="2" xr3:uid="{092E6426-78EE-4576-AF59-689D0FB0762A}" name="Project Category" dataDxfId="206"/>
    <tableColumn id="3" xr3:uid="{59B2D8B6-CFEB-4E16-89F7-90FBA4339E89}" name="Proj Desc 1" dataDxfId="205"/>
    <tableColumn id="4" xr3:uid="{0CF32E3C-DCF8-43D8-84B5-36CEED98823B}" name="Proj Desc 2" dataDxfId="204"/>
    <tableColumn id="5" xr3:uid="{6BA19BCA-4E19-463B-8543-A2D5649877D5}" name="Inc Rate" dataDxfId="203"/>
    <tableColumn id="6" xr3:uid="{092BFED3-4810-4743-9894-DFB6C6F17355}" name="EUL" dataDxfId="202"/>
    <tableColumn id="7" xr3:uid="{5A3FC9F0-93E6-4045-90FC-703D5F35734D}" name="Measure Group" dataDxfId="201"/>
    <tableColumn id="8" xr3:uid="{53AD7D63-0F73-429B-B24D-273DD38FA6B7}" name="Measure Subgroup 1" dataDxfId="200"/>
    <tableColumn id="9" xr3:uid="{5FB44C4D-BAA4-4ABC-839B-D3353BF5C4FB}" name="Measure Subgroup 2" dataDxfId="199"/>
    <tableColumn id="10" xr3:uid="{C5EF6550-CBC6-442F-8544-495F5EBA1C83}" name="Units" dataDxfId="198"/>
    <tableColumn id="11" xr3:uid="{13091BA6-1DB6-4A92-B922-E5985A9254A8}" name="Order" dataDxfId="197"/>
    <tableColumn id="12" xr3:uid="{2E86DCEB-0795-413B-9503-386E3B1DF9A7}" name="End Use Category" dataDxfId="196"/>
    <tableColumn id="13" xr3:uid="{1132CCAC-6F9C-413E-B91F-DA383DD667B3}" name="Factor" dataDxfId="195"/>
    <tableColumn id="14" xr3:uid="{25BBCD1E-B904-4FBB-8241-06E3652E0C74}" name="Cost Basis" dataDxfId="194"/>
    <tableColumn id="15" xr3:uid="{7E6F08D3-3B70-4FEB-B88E-530EC8261B62}" name="Application Tab" dataDxfId="193"/>
    <tableColumn id="16" xr3:uid="{BEC513FA-D8AE-4D00-9000-5193371F9DE8}" name="Unit of Measure" dataDxfId="192"/>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454382EC-6013-49A7-863B-8DC776427D44}" name="CMEMOTOR_N" displayName="CMEMOTOR_N" ref="B52:Q62" totalsRowShown="0" headerRowDxfId="191" dataDxfId="189" headerRowBorderDxfId="190" tableBorderDxfId="188" totalsRowBorderDxfId="187">
  <autoFilter ref="B52:Q62" xr:uid="{84526B9F-BB35-4F69-9FEF-FB620AF49C71}"/>
  <tableColumns count="16">
    <tableColumn id="1" xr3:uid="{B3C5EEB9-65EC-4414-83CF-ECD66FCB460A}" name="Measure Number" dataDxfId="186"/>
    <tableColumn id="2" xr3:uid="{05D14883-BEEA-4FB5-8499-B0589C664468}" name="Project Category" dataDxfId="185"/>
    <tableColumn id="3" xr3:uid="{AF7130AE-F487-4BFC-BB39-521513E69AB2}" name="Proj Desc 1" dataDxfId="184"/>
    <tableColumn id="4" xr3:uid="{95F4351F-3EC2-48D6-8D5C-0055AC073FF7}" name="Proj Desc 2" dataDxfId="183"/>
    <tableColumn id="5" xr3:uid="{4DA0AE85-0927-42F8-B41A-147F7C9DCB83}" name="Inc Rate" dataDxfId="182"/>
    <tableColumn id="6" xr3:uid="{0833F1DF-785B-46F0-A7E4-D487682E8EAB}" name="EUL" dataDxfId="181"/>
    <tableColumn id="7" xr3:uid="{EA68F9AF-38FD-4134-B633-0BF85B06C426}" name="Measure Group" dataDxfId="180"/>
    <tableColumn id="8" xr3:uid="{F7053511-03C9-46FA-B825-4B99B05FDF20}" name="Measure Subgroup 1" dataDxfId="179"/>
    <tableColumn id="9" xr3:uid="{E4EAF20F-74C7-42AC-97A6-09F403A0C41B}" name="Measure Subgroup 2" dataDxfId="178"/>
    <tableColumn id="10" xr3:uid="{02EF7146-AF5B-426C-95C9-1297D656A6C0}" name="Units" dataDxfId="177"/>
    <tableColumn id="11" xr3:uid="{B6147E9C-A82B-46FD-A628-62D0E8B973A5}" name="Order" dataDxfId="176"/>
    <tableColumn id="12" xr3:uid="{B9C9ABF0-F8A9-483E-8E8A-7714FB187211}" name="End Use Category" dataDxfId="175"/>
    <tableColumn id="13" xr3:uid="{3C4B1BE7-494A-4516-B37C-F7FE0D4BC322}" name="Factor" dataDxfId="174"/>
    <tableColumn id="14" xr3:uid="{6B087689-2320-454C-972C-5E363BD42907}" name="Cost Basis" dataDxfId="173"/>
    <tableColumn id="15" xr3:uid="{1137CF82-5F50-40F0-9E83-C7113ABCF2E3}" name="Application Tab" dataDxfId="172"/>
    <tableColumn id="16" xr3:uid="{D2023D6E-AE95-439B-83B4-02B6226FED5A}" name="Unit of Measure" dataDxfId="171"/>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35F0D091-EDF2-4FF4-8316-FC0BDA545410}" name="LPDWATT" displayName="LPDWATT" ref="E2:Y37" totalsRowShown="0" headerRowDxfId="170">
  <autoFilter ref="E2:Y37" xr:uid="{A127AC12-5472-4A41-9FCA-EE23AEAF9B90}"/>
  <sortState xmlns:xlrd2="http://schemas.microsoft.com/office/spreadsheetml/2017/richdata2" ref="E3:V34">
    <sortCondition ref="E52:E91"/>
  </sortState>
  <tableColumns count="21">
    <tableColumn id="1" xr3:uid="{628A0000-915E-45C3-8619-48EB8879F5F0}" name="Building Area Type"/>
    <tableColumn id="15" xr3:uid="{AE73E14D-77C8-4B31-92B2-3D40BDE3F13E}" name="IECC 2009"/>
    <tableColumn id="14" xr3:uid="{B05A6E3F-3408-4E04-ADB4-97555487F5DB}" name="IECC 2012"/>
    <tableColumn id="13" xr3:uid="{21AF7B1D-349B-494B-B190-2D98E06935FC}" name="IECC 2015"/>
    <tableColumn id="12" xr3:uid="{3CC5DC93-7760-422B-A0CE-F0572EEC8CC3}" name="IECC 2018"/>
    <tableColumn id="20" xr3:uid="{471942EF-7294-4D10-A6CB-B87AF230F19F}" name="IECC 2021"/>
    <tableColumn id="11" xr3:uid="{47F078AB-1683-4004-8C18-0A01BAD9E621}" name="ASHRAE 90.1 2007"/>
    <tableColumn id="9" xr3:uid="{02B125E2-D1A9-4853-926A-47102CDBA0A8}" name="ASHRAE 90.1 2010"/>
    <tableColumn id="10" xr3:uid="{8EB9A760-84CE-48F2-8DE3-AC930D97B133}" name="ASHRAE 90.1 2013"/>
    <tableColumn id="2" xr3:uid="{CB992A67-279A-44A0-8AA4-25C5D6C229DD}" name="ASHRAE 90.1 2016"/>
    <tableColumn id="19" xr3:uid="{C4D625C3-661A-408A-B801-A358924AA9BA}" name="ASHRAE 90.1 2019"/>
    <tableColumn id="21" xr3:uid="{B3A077F9-78A6-4C18-87C9-93F63E1EEF5E}" name="ASHRAE 90.1 2022"/>
    <tableColumn id="3" xr3:uid="{37E2DDAD-8EE1-4110-A347-EC2C4FF52AB1}" name="End Use "/>
    <tableColumn id="4" xr3:uid="{042DD533-3170-46CA-914A-43B7DB1014A2}" name="EUL"/>
    <tableColumn id="8" xr3:uid="{FFAD6F98-3B4D-46EF-A78D-E5A0CF9737AD}" name="Unit of Measure"/>
    <tableColumn id="17" xr3:uid="{45C2D52D-5CB5-471F-889D-6102156BBF88}" name="CBECS 2012 Midwest Electricity Energy Intensity (kWh/sq ft)" dataDxfId="169">
      <calculatedColumnFormula>INDEX(Table71[CBECS 2012 Midwest Electricity Energy Intensity (kWh/sq ft)],MATCH(LPDWATT[[#This Row],[CBECS Building Activity]],Table71[Principal building activity],0))</calculatedColumnFormula>
    </tableColumn>
    <tableColumn id="18" xr3:uid="{4A7C05B6-84D2-46BF-8801-0DBD3D4C1055}" name="CBECS Building Activity"/>
    <tableColumn id="5" xr3:uid="{DD38F0D9-E350-442C-B3DA-1007C2CE068E}" name="IL TRM v9.0 Lighting Coincidence Factor" dataDxfId="168"/>
    <tableColumn id="6" xr3:uid="{A5534E04-9908-44F4-BFB0-7ED8DB264BB2}" name="IL TRM v9.0 Operating Hours"/>
    <tableColumn id="16" xr3:uid="{1F2A6DE8-2FBB-45FE-B438-1973CA9C544E}" name="IL TRM v9.0 WHFe" dataDxfId="167"/>
    <tableColumn id="7" xr3:uid="{E9B8CA68-C0D8-47F1-9B60-9BE3D2918531}" name="IL TRM v9.0 Building Area Assumption"/>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A5CC6EE6-DBD9-4A62-BD6A-12286FE49DAB}" name="NCLIGHTINCCOST" displayName="NCLIGHTINCCOST" ref="B3:C6" totalsRowShown="0" headerRowDxfId="166" dataDxfId="165">
  <autoFilter ref="B3:C6" xr:uid="{C8CA22F1-54B9-4ACA-89E8-19DBE6F34C69}"/>
  <tableColumns count="2">
    <tableColumn id="1" xr3:uid="{61335964-85B7-409C-BF82-E33DC4B8FF53}" name="% below code" dataDxfId="164" dataCellStyle="Percent"/>
    <tableColumn id="2" xr3:uid="{04032557-9516-4FF3-8343-654AD9605820}" name="WI Incremental Cost ($/sq ft)" dataDxfId="16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AU11:BF16" totalsRowShown="0">
  <autoFilter ref="AU11:BF16" xr:uid="{00000000-0009-0000-0100-00001D000000}"/>
  <tableColumns count="12">
    <tableColumn id="1" xr3:uid="{00000000-0010-0000-1500-000001000000}" name="Payment to"/>
    <tableColumn id="2" xr3:uid="{00000000-0010-0000-1500-000002000000}" name="Company" dataDxfId="517">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516">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20" totalsRowShown="0">
  <autoFilter ref="C11:D20" xr:uid="{00000000-0009-0000-0100-00001E000000}"/>
  <sortState xmlns:xlrd2="http://schemas.microsoft.com/office/spreadsheetml/2017/richdata2" ref="C12:D20">
    <sortCondition ref="C12:C20"/>
  </sortState>
  <tableColumns count="2">
    <tableColumn id="1" xr3:uid="{00000000-0010-0000-1600-000001000000}" name="Tax Entity"/>
    <tableColumn id="2" xr3:uid="{00000000-0010-0000-1600-000002000000}" name="System 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ENDUSEALL" displayName="ENDUSEALL" ref="U11:Z28" totalsRowShown="0">
  <autoFilter ref="U11:Z28" xr:uid="{00000000-0009-0000-0100-000017000000}"/>
  <sortState xmlns:xlrd2="http://schemas.microsoft.com/office/spreadsheetml/2017/richdata2" ref="U12:Z28">
    <sortCondition ref="U11:U28"/>
  </sortState>
  <tableColumns count="6">
    <tableColumn id="1" xr3:uid="{00000000-0010-0000-1700-000001000000}" name="End Use to Coincident Peak Demand Factors"/>
    <tableColumn id="8" xr3:uid="{00000000-0010-0000-1700-000008000000}" name="Source" dataDxfId="515"/>
    <tableColumn id="2" xr3:uid="{00000000-0010-0000-1700-000002000000}" name="Factor" dataDxfId="514"/>
    <tableColumn id="3" xr3:uid="{00000000-0010-0000-1700-000003000000}" name="Rate ($/kWh)" dataDxfId="513"/>
    <tableColumn id="5" xr3:uid="{AC59A936-DF0C-4CD2-A15F-42718FC9360A}" name="Bonus Rate ($/kWh)" dataDxfId="512"/>
    <tableColumn id="4" xr3:uid="{CEC7DA9D-10D0-486A-95B9-ED018C6108A6}" name="Measure Number Indicator" dataDxfId="51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46:A58" totalsRowShown="0">
  <autoFilter ref="A46:A58" xr:uid="{00000000-0009-0000-0100-000029000000}"/>
  <tableColumns count="1">
    <tableColumn id="1" xr3:uid="{00000000-0010-0000-1A00-000001000000}" name="Projec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bin"/><Relationship Id="rId1" Type="http://schemas.openxmlformats.org/officeDocument/2006/relationships/hyperlink" Target="mailto:businessrebates@evergy.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mailto:businessrebates@evergy.com" TargetMode="External"/><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businessrebates@evergy.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mailto:businessrebates@evergy.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hyperlink" Target="mailto:businessrebates@evergy.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hyperlink" Target="mailto:businessrebates@evergy.com" TargetMode="Externa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drawing" Target="../drawings/drawing7.x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printerSettings" Target="../printerSettings/printerSettings16.bin"/><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mailto:businessrebates@evergy.com"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vmlDrawing" Target="../drawings/vmlDrawing5.v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mailto:businessrebates@evergy.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hyperlink" Target="mailto:businessrebates@evergy.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hyperlink" Target="mailto:businessrebates@everg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hyperlink" Target="mailto:businessrebates@evergy.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mailto:businessrebates@evergy.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hyperlink" Target="mailto:businessrebates@evergy.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3.bin"/><Relationship Id="rId1" Type="http://schemas.openxmlformats.org/officeDocument/2006/relationships/hyperlink" Target="mailto:businessrebates@evergy.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4.bin"/><Relationship Id="rId1" Type="http://schemas.openxmlformats.org/officeDocument/2006/relationships/hyperlink" Target="mailto:businessrebates@evergy.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hyperlink" Target="mailto:businessrebates@evergy.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hyperlink" Target="mailto:businessrebates@evergy.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7.bin"/><Relationship Id="rId1" Type="http://schemas.openxmlformats.org/officeDocument/2006/relationships/hyperlink" Target="mailto:businessrebates@everg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hyperlink" Target="mailto:businessrebates@evergy.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hyperlink" Target="mailto:businessrebates@evergy.com" TargetMode="External"/></Relationships>
</file>

<file path=xl/worksheets/_rels/sheet3.xml.rels><?xml version="1.0" encoding="UTF-8" standalone="yes"?>
<Relationships xmlns="http://schemas.openxmlformats.org/package/2006/relationships"><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9" Type="http://schemas.openxmlformats.org/officeDocument/2006/relationships/table" Target="../tables/table36.xml"/><Relationship Id="rId21" Type="http://schemas.openxmlformats.org/officeDocument/2006/relationships/table" Target="../tables/table18.xml"/><Relationship Id="rId34" Type="http://schemas.openxmlformats.org/officeDocument/2006/relationships/table" Target="../tables/table31.xml"/><Relationship Id="rId42" Type="http://schemas.openxmlformats.org/officeDocument/2006/relationships/table" Target="../tables/table39.xml"/><Relationship Id="rId7" Type="http://schemas.openxmlformats.org/officeDocument/2006/relationships/table" Target="../tables/table4.xml"/><Relationship Id="rId2" Type="http://schemas.openxmlformats.org/officeDocument/2006/relationships/hyperlink" Target="mailto:Dgordon@trccompanies.com" TargetMode="External"/><Relationship Id="rId16" Type="http://schemas.openxmlformats.org/officeDocument/2006/relationships/table" Target="../tables/table13.xml"/><Relationship Id="rId20" Type="http://schemas.openxmlformats.org/officeDocument/2006/relationships/table" Target="../tables/table17.xml"/><Relationship Id="rId29" Type="http://schemas.openxmlformats.org/officeDocument/2006/relationships/table" Target="../tables/table26.xml"/><Relationship Id="rId41" Type="http://schemas.openxmlformats.org/officeDocument/2006/relationships/table" Target="../tables/table38.xml"/><Relationship Id="rId1" Type="http://schemas.openxmlformats.org/officeDocument/2006/relationships/hyperlink" Target="mailto:MBSharp@trccompanies.com" TargetMode="External"/><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32" Type="http://schemas.openxmlformats.org/officeDocument/2006/relationships/table" Target="../tables/table29.xml"/><Relationship Id="rId37" Type="http://schemas.openxmlformats.org/officeDocument/2006/relationships/table" Target="../tables/table34.xml"/><Relationship Id="rId40" Type="http://schemas.openxmlformats.org/officeDocument/2006/relationships/table" Target="../tables/table37.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table" Target="../tables/table25.xml"/><Relationship Id="rId36" Type="http://schemas.openxmlformats.org/officeDocument/2006/relationships/table" Target="../tables/table33.xml"/><Relationship Id="rId10" Type="http://schemas.openxmlformats.org/officeDocument/2006/relationships/table" Target="../tables/table7.xml"/><Relationship Id="rId19" Type="http://schemas.openxmlformats.org/officeDocument/2006/relationships/table" Target="../tables/table16.xml"/><Relationship Id="rId31" Type="http://schemas.openxmlformats.org/officeDocument/2006/relationships/table" Target="../tables/table28.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 Id="rId30" Type="http://schemas.openxmlformats.org/officeDocument/2006/relationships/table" Target="../tables/table27.xml"/><Relationship Id="rId35" Type="http://schemas.openxmlformats.org/officeDocument/2006/relationships/table" Target="../tables/table32.xml"/><Relationship Id="rId8" Type="http://schemas.openxmlformats.org/officeDocument/2006/relationships/table" Target="../tables/table5.xml"/><Relationship Id="rId3" Type="http://schemas.openxmlformats.org/officeDocument/2006/relationships/printerSettings" Target="../printerSettings/printerSettings3.bin"/><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33" Type="http://schemas.openxmlformats.org/officeDocument/2006/relationships/table" Target="../tables/table30.xml"/><Relationship Id="rId38" Type="http://schemas.openxmlformats.org/officeDocument/2006/relationships/table" Target="../tables/table35.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0.bin"/><Relationship Id="rId1" Type="http://schemas.openxmlformats.org/officeDocument/2006/relationships/hyperlink" Target="mailto:businessrebates@everg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1.bin"/><Relationship Id="rId1" Type="http://schemas.openxmlformats.org/officeDocument/2006/relationships/hyperlink" Target="mailto:businessrebates@evergy.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2.bin"/><Relationship Id="rId1" Type="http://schemas.openxmlformats.org/officeDocument/2006/relationships/hyperlink" Target="mailto:businessrebates@evergy.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3.bin"/><Relationship Id="rId1" Type="http://schemas.openxmlformats.org/officeDocument/2006/relationships/hyperlink" Target="mailto:businessrebates@evergy.com" TargetMode="External"/><Relationship Id="rId5" Type="http://schemas.openxmlformats.org/officeDocument/2006/relationships/ctrlProp" Target="../ctrlProps/ctrlProp26.xml"/><Relationship Id="rId4" Type="http://schemas.openxmlformats.org/officeDocument/2006/relationships/vmlDrawing" Target="../drawings/vmlDrawing6.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4.bin"/><Relationship Id="rId1" Type="http://schemas.openxmlformats.org/officeDocument/2006/relationships/hyperlink" Target="mailto:businessrebates@evergy.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5.bin"/><Relationship Id="rId1" Type="http://schemas.openxmlformats.org/officeDocument/2006/relationships/hyperlink" Target="mailto:businessrebates@evergy.com"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mailto:businessrebates@evergy.com" TargetMode="External"/><Relationship Id="rId2" Type="http://schemas.openxmlformats.org/officeDocument/2006/relationships/hyperlink" Target="https://www.eia.gov/tools/faqs/faq.php?id=74&amp;t=11" TargetMode="External"/><Relationship Id="rId1" Type="http://schemas.openxmlformats.org/officeDocument/2006/relationships/hyperlink" Target="https://www.epa.gov/energy/greenhouse-gases-equivalencies-calculator-calculations-and-references" TargetMode="External"/><Relationship Id="rId6" Type="http://schemas.openxmlformats.org/officeDocument/2006/relationships/drawing" Target="../drawings/drawing27.xml"/><Relationship Id="rId5" Type="http://schemas.openxmlformats.org/officeDocument/2006/relationships/printerSettings" Target="../printerSettings/printerSettings36.bin"/><Relationship Id="rId4" Type="http://schemas.openxmlformats.org/officeDocument/2006/relationships/hyperlink" Target="mailto:businessrebates@evergy.com"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businessrebates@evergy.com" TargetMode="External"/><Relationship Id="rId1" Type="http://schemas.openxmlformats.org/officeDocument/2006/relationships/hyperlink" Target="mailto:businessrebates@evergy.com?subject=Evergy%20Signed%20Offer%20Form" TargetMode="External"/><Relationship Id="rId4"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29.xml"/><Relationship Id="rId3" Type="http://schemas.openxmlformats.org/officeDocument/2006/relationships/printerSettings" Target="../printerSettings/printerSettings38.bin"/><Relationship Id="rId7" Type="http://schemas.openxmlformats.org/officeDocument/2006/relationships/ctrlProp" Target="../ctrlProps/ctrlProp28.xml"/><Relationship Id="rId2" Type="http://schemas.openxmlformats.org/officeDocument/2006/relationships/hyperlink" Target="mailto:businessrebates@evergy.com" TargetMode="External"/><Relationship Id="rId1" Type="http://schemas.openxmlformats.org/officeDocument/2006/relationships/hyperlink" Target="mailto:businessrebates@evergy.com?subject=Evergy%20Signed%20Completion%20Form%20and%20Invoices" TargetMode="External"/><Relationship Id="rId6" Type="http://schemas.openxmlformats.org/officeDocument/2006/relationships/ctrlProp" Target="../ctrlProps/ctrlProp27.xml"/><Relationship Id="rId5" Type="http://schemas.openxmlformats.org/officeDocument/2006/relationships/vmlDrawing" Target="../drawings/vmlDrawing7.vml"/><Relationship Id="rId4" Type="http://schemas.openxmlformats.org/officeDocument/2006/relationships/drawing" Target="../drawings/drawing29.xml"/><Relationship Id="rId9" Type="http://schemas.openxmlformats.org/officeDocument/2006/relationships/ctrlProp" Target="../ctrlProps/ctrlProp30.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9.bin"/><Relationship Id="rId1" Type="http://schemas.openxmlformats.org/officeDocument/2006/relationships/hyperlink" Target="mailto:businessrebates@evergy.com"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6" Type="http://schemas.openxmlformats.org/officeDocument/2006/relationships/table" Target="../tables/table45.xml"/><Relationship Id="rId5" Type="http://schemas.openxmlformats.org/officeDocument/2006/relationships/table" Target="../tables/table44.xml"/><Relationship Id="rId10" Type="http://schemas.openxmlformats.org/officeDocument/2006/relationships/comments" Target="../comments3.xml"/><Relationship Id="rId4" Type="http://schemas.openxmlformats.org/officeDocument/2006/relationships/table" Target="../tables/table43.xml"/><Relationship Id="rId9" Type="http://schemas.openxmlformats.org/officeDocument/2006/relationships/table" Target="../tables/table48.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0.xml"/><Relationship Id="rId7" Type="http://schemas.openxmlformats.org/officeDocument/2006/relationships/table" Target="../tables/table54.xml"/><Relationship Id="rId2" Type="http://schemas.openxmlformats.org/officeDocument/2006/relationships/table" Target="../tables/table49.xml"/><Relationship Id="rId1" Type="http://schemas.openxmlformats.org/officeDocument/2006/relationships/printerSettings" Target="../printerSettings/printerSettings8.bin"/><Relationship Id="rId6" Type="http://schemas.openxmlformats.org/officeDocument/2006/relationships/table" Target="../tables/table53.xml"/><Relationship Id="rId5" Type="http://schemas.openxmlformats.org/officeDocument/2006/relationships/table" Target="../tables/table52.xml"/><Relationship Id="rId4" Type="http://schemas.openxmlformats.org/officeDocument/2006/relationships/table" Target="../tables/table5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table" Target="../tables/table5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rgb="FFFFFF00"/>
  </sheetPr>
  <dimension ref="A1:AQ278"/>
  <sheetViews>
    <sheetView zoomScale="85" zoomScaleNormal="85" workbookViewId="0">
      <pane ySplit="4" topLeftCell="A140" activePane="bottomLeft" state="frozen"/>
      <selection pane="bottomLeft" activeCell="E157" sqref="E157"/>
    </sheetView>
  </sheetViews>
  <sheetFormatPr defaultColWidth="1.7109375" defaultRowHeight="15.75"/>
  <cols>
    <col min="1" max="1" width="13.140625" style="8" bestFit="1" customWidth="1"/>
    <col min="2" max="2" width="12.28515625" style="8" bestFit="1" customWidth="1"/>
    <col min="3" max="3" width="8.28515625" style="8" bestFit="1" customWidth="1"/>
    <col min="4" max="4" width="8.28515625" style="8" customWidth="1"/>
    <col min="5" max="5" width="53.42578125" style="8" customWidth="1"/>
    <col min="6" max="6" width="4.42578125" customWidth="1"/>
    <col min="7" max="7" width="7" customWidth="1"/>
    <col min="8" max="8" width="163.5703125" bestFit="1" customWidth="1"/>
  </cols>
  <sheetData>
    <row r="1" spans="1:43" ht="15">
      <c r="A1" s="602" t="s">
        <v>33</v>
      </c>
      <c r="B1" s="602"/>
      <c r="C1" s="602"/>
      <c r="D1" s="602"/>
      <c r="E1" s="602"/>
      <c r="G1" s="2" t="s">
        <v>280</v>
      </c>
    </row>
    <row r="2" spans="1:43" ht="15">
      <c r="A2" s="602"/>
      <c r="B2" s="602"/>
      <c r="C2" s="602"/>
      <c r="D2" s="602"/>
      <c r="E2" s="602"/>
      <c r="G2" t="s">
        <v>277</v>
      </c>
      <c r="H2" t="s">
        <v>2053</v>
      </c>
    </row>
    <row r="3" spans="1:43">
      <c r="A3" s="602"/>
      <c r="B3" s="602"/>
      <c r="C3" s="602"/>
      <c r="D3" s="602"/>
      <c r="E3" s="602"/>
      <c r="G3" t="s">
        <v>278</v>
      </c>
      <c r="H3" t="s">
        <v>2054</v>
      </c>
      <c r="AQ3" s="68"/>
    </row>
    <row r="4" spans="1:43" ht="15">
      <c r="A4" s="2" t="s">
        <v>36</v>
      </c>
      <c r="B4" s="2" t="s">
        <v>34</v>
      </c>
      <c r="C4" s="2" t="s">
        <v>35</v>
      </c>
      <c r="D4" s="2" t="s">
        <v>1529</v>
      </c>
      <c r="E4" s="3" t="s">
        <v>37</v>
      </c>
      <c r="G4" t="s">
        <v>279</v>
      </c>
      <c r="H4" t="s">
        <v>2055</v>
      </c>
    </row>
    <row r="5" spans="1:43" ht="15" customHeight="1">
      <c r="A5" s="444">
        <v>43552</v>
      </c>
      <c r="B5" s="445" t="s">
        <v>765</v>
      </c>
      <c r="C5" s="446" t="s">
        <v>1155</v>
      </c>
      <c r="D5" s="446"/>
      <c r="E5" s="406" t="s">
        <v>1156</v>
      </c>
    </row>
    <row r="6" spans="1:43" ht="15" customHeight="1">
      <c r="A6" s="444">
        <v>43566</v>
      </c>
      <c r="B6" s="445" t="s">
        <v>765</v>
      </c>
      <c r="C6" s="446" t="s">
        <v>1159</v>
      </c>
      <c r="D6" s="446"/>
      <c r="E6" s="406" t="s">
        <v>1160</v>
      </c>
    </row>
    <row r="7" spans="1:43" ht="15" customHeight="1">
      <c r="A7" s="444">
        <v>43642</v>
      </c>
      <c r="B7" s="445" t="s">
        <v>765</v>
      </c>
      <c r="C7" s="446" t="s">
        <v>1203</v>
      </c>
      <c r="D7" s="446"/>
      <c r="E7" s="406" t="s">
        <v>1194</v>
      </c>
    </row>
    <row r="8" spans="1:43" ht="15" customHeight="1">
      <c r="A8" s="444">
        <v>43671</v>
      </c>
      <c r="B8" s="445" t="s">
        <v>765</v>
      </c>
      <c r="C8" s="446"/>
      <c r="D8" s="446"/>
      <c r="E8" s="406" t="s">
        <v>1195</v>
      </c>
    </row>
    <row r="9" spans="1:43" ht="15" customHeight="1">
      <c r="A9" s="444" t="s">
        <v>1245</v>
      </c>
      <c r="B9" s="445" t="s">
        <v>765</v>
      </c>
      <c r="C9" s="446"/>
      <c r="D9" s="446"/>
      <c r="E9" s="406" t="s">
        <v>1244</v>
      </c>
    </row>
    <row r="10" spans="1:43" ht="15" customHeight="1">
      <c r="A10" s="444">
        <v>43707</v>
      </c>
      <c r="B10" s="445" t="s">
        <v>765</v>
      </c>
      <c r="C10" s="446"/>
      <c r="D10" s="446"/>
      <c r="E10" s="406" t="s">
        <v>1251</v>
      </c>
    </row>
    <row r="11" spans="1:43" ht="15" customHeight="1">
      <c r="A11" s="444">
        <v>43732</v>
      </c>
      <c r="B11" s="445" t="s">
        <v>765</v>
      </c>
      <c r="C11" s="446" t="s">
        <v>1267</v>
      </c>
      <c r="D11" s="446"/>
      <c r="E11" s="406" t="s">
        <v>1276</v>
      </c>
    </row>
    <row r="12" spans="1:43" ht="15" customHeight="1">
      <c r="A12" s="444">
        <v>43740</v>
      </c>
      <c r="B12" s="445" t="s">
        <v>765</v>
      </c>
      <c r="C12" s="446"/>
      <c r="D12" s="446"/>
      <c r="E12" s="406" t="s">
        <v>1291</v>
      </c>
    </row>
    <row r="13" spans="1:43" ht="15" customHeight="1">
      <c r="A13" s="444">
        <v>43817</v>
      </c>
      <c r="B13" s="445" t="s">
        <v>1292</v>
      </c>
      <c r="C13" s="446" t="s">
        <v>1318</v>
      </c>
      <c r="D13" s="446" t="s">
        <v>1530</v>
      </c>
      <c r="E13" s="406" t="s">
        <v>1293</v>
      </c>
    </row>
    <row r="14" spans="1:43" ht="15" customHeight="1">
      <c r="A14" s="444">
        <v>43852</v>
      </c>
      <c r="B14" s="445" t="s">
        <v>765</v>
      </c>
      <c r="C14" s="446"/>
      <c r="D14" s="446" t="s">
        <v>1530</v>
      </c>
      <c r="E14" s="407" t="s">
        <v>1347</v>
      </c>
    </row>
    <row r="15" spans="1:43" ht="15" customHeight="1">
      <c r="A15" s="444">
        <v>43858</v>
      </c>
      <c r="B15" s="445" t="s">
        <v>765</v>
      </c>
      <c r="C15" s="446"/>
      <c r="D15" s="446" t="s">
        <v>1530</v>
      </c>
      <c r="E15" s="407" t="s">
        <v>1355</v>
      </c>
    </row>
    <row r="16" spans="1:43" ht="15" customHeight="1">
      <c r="A16" s="444">
        <v>43859</v>
      </c>
      <c r="B16" s="445" t="s">
        <v>765</v>
      </c>
      <c r="C16" s="446"/>
      <c r="D16" s="446" t="s">
        <v>1530</v>
      </c>
      <c r="E16" s="407" t="s">
        <v>1356</v>
      </c>
    </row>
    <row r="17" spans="1:6" ht="15" customHeight="1">
      <c r="A17" s="444">
        <v>43864</v>
      </c>
      <c r="B17" s="445" t="s">
        <v>765</v>
      </c>
      <c r="C17" s="446" t="s">
        <v>1357</v>
      </c>
      <c r="D17" s="446" t="s">
        <v>1530</v>
      </c>
      <c r="E17" s="407" t="s">
        <v>1358</v>
      </c>
    </row>
    <row r="18" spans="1:6" ht="15" customHeight="1">
      <c r="A18" s="444">
        <v>43865</v>
      </c>
      <c r="B18" s="445" t="s">
        <v>765</v>
      </c>
      <c r="C18" s="446" t="s">
        <v>1437</v>
      </c>
      <c r="D18" s="446" t="s">
        <v>1530</v>
      </c>
      <c r="E18" s="407" t="s">
        <v>1368</v>
      </c>
      <c r="F18" s="1"/>
    </row>
    <row r="19" spans="1:6" ht="15" customHeight="1">
      <c r="A19" s="444">
        <v>43868</v>
      </c>
      <c r="B19" s="445" t="s">
        <v>765</v>
      </c>
      <c r="C19" s="446"/>
      <c r="D19" s="446" t="s">
        <v>1530</v>
      </c>
      <c r="E19" s="407" t="s">
        <v>1438</v>
      </c>
    </row>
    <row r="20" spans="1:6" ht="15" customHeight="1">
      <c r="A20" s="444">
        <v>43871</v>
      </c>
      <c r="B20" s="445" t="s">
        <v>765</v>
      </c>
      <c r="C20" s="446"/>
      <c r="D20" s="446" t="s">
        <v>1530</v>
      </c>
      <c r="E20" s="407" t="s">
        <v>1439</v>
      </c>
    </row>
    <row r="21" spans="1:6" ht="15" customHeight="1">
      <c r="A21" s="444">
        <v>43879</v>
      </c>
      <c r="B21" s="445" t="s">
        <v>765</v>
      </c>
      <c r="C21" s="446" t="s">
        <v>1826</v>
      </c>
      <c r="D21" s="446" t="s">
        <v>1530</v>
      </c>
      <c r="E21" s="407" t="s">
        <v>1498</v>
      </c>
    </row>
    <row r="22" spans="1:6" ht="15" customHeight="1">
      <c r="A22" s="444">
        <v>43879</v>
      </c>
      <c r="B22" s="445" t="s">
        <v>765</v>
      </c>
      <c r="C22" s="446"/>
      <c r="D22" s="446" t="s">
        <v>1530</v>
      </c>
      <c r="E22" s="407" t="s">
        <v>1528</v>
      </c>
    </row>
    <row r="23" spans="1:6" ht="15" customHeight="1">
      <c r="A23" s="444">
        <v>43893</v>
      </c>
      <c r="B23" s="445" t="s">
        <v>765</v>
      </c>
      <c r="C23" s="446"/>
      <c r="D23" s="446" t="s">
        <v>1530</v>
      </c>
      <c r="E23" s="407" t="s">
        <v>1827</v>
      </c>
    </row>
    <row r="24" spans="1:6" ht="15" customHeight="1">
      <c r="A24" s="444">
        <v>43893</v>
      </c>
      <c r="B24" s="445" t="s">
        <v>1292</v>
      </c>
      <c r="C24" s="446"/>
      <c r="D24" s="446" t="s">
        <v>1530</v>
      </c>
      <c r="E24" s="407" t="s">
        <v>1825</v>
      </c>
    </row>
    <row r="25" spans="1:6" ht="15" customHeight="1">
      <c r="A25" s="444">
        <v>43901</v>
      </c>
      <c r="B25" s="445" t="s">
        <v>765</v>
      </c>
      <c r="C25" s="446" t="s">
        <v>1828</v>
      </c>
      <c r="D25" s="446" t="s">
        <v>1857</v>
      </c>
      <c r="E25" s="407" t="s">
        <v>1868</v>
      </c>
    </row>
    <row r="26" spans="1:6" ht="15" customHeight="1">
      <c r="A26" s="444">
        <v>43901</v>
      </c>
      <c r="B26" s="445" t="s">
        <v>765</v>
      </c>
      <c r="C26" s="446" t="s">
        <v>1828</v>
      </c>
      <c r="D26" s="446" t="s">
        <v>91</v>
      </c>
      <c r="E26" s="407" t="s">
        <v>1878</v>
      </c>
    </row>
    <row r="27" spans="1:6" ht="15" customHeight="1">
      <c r="A27" s="444">
        <v>43902</v>
      </c>
      <c r="B27" s="445" t="s">
        <v>1292</v>
      </c>
      <c r="C27" s="446"/>
      <c r="D27" s="446" t="s">
        <v>1359</v>
      </c>
      <c r="E27" s="407" t="s">
        <v>1880</v>
      </c>
    </row>
    <row r="28" spans="1:6" ht="15" customHeight="1">
      <c r="A28" s="444">
        <v>43902</v>
      </c>
      <c r="B28" s="445" t="s">
        <v>765</v>
      </c>
      <c r="C28" s="446" t="s">
        <v>1828</v>
      </c>
      <c r="D28" s="446" t="s">
        <v>91</v>
      </c>
      <c r="E28" s="406" t="s">
        <v>1884</v>
      </c>
    </row>
    <row r="29" spans="1:6" ht="14.25" customHeight="1">
      <c r="A29" s="444">
        <v>43902</v>
      </c>
      <c r="B29" s="445" t="s">
        <v>765</v>
      </c>
      <c r="C29" s="446" t="s">
        <v>1882</v>
      </c>
      <c r="D29" s="446" t="s">
        <v>1530</v>
      </c>
      <c r="E29" s="406" t="s">
        <v>1883</v>
      </c>
    </row>
    <row r="30" spans="1:6" ht="108">
      <c r="A30" s="444">
        <v>43920</v>
      </c>
      <c r="B30" s="445" t="s">
        <v>1292</v>
      </c>
      <c r="C30" s="446" t="s">
        <v>1885</v>
      </c>
      <c r="D30" s="446" t="s">
        <v>1359</v>
      </c>
      <c r="E30" s="407" t="s">
        <v>1886</v>
      </c>
    </row>
    <row r="31" spans="1:6">
      <c r="A31" s="444"/>
      <c r="B31" s="445"/>
      <c r="C31" s="446" t="s">
        <v>1885</v>
      </c>
      <c r="D31" s="446" t="s">
        <v>91</v>
      </c>
      <c r="E31" s="407" t="s">
        <v>1887</v>
      </c>
    </row>
    <row r="32" spans="1:6" ht="409.5">
      <c r="A32" s="444">
        <v>43962</v>
      </c>
      <c r="B32" s="445" t="s">
        <v>1292</v>
      </c>
      <c r="C32" s="446" t="s">
        <v>1891</v>
      </c>
      <c r="D32" s="446" t="s">
        <v>1530</v>
      </c>
      <c r="E32" s="407" t="s">
        <v>1892</v>
      </c>
    </row>
    <row r="33" spans="1:5" ht="270">
      <c r="A33" s="444">
        <v>43990</v>
      </c>
      <c r="B33" s="445" t="s">
        <v>1292</v>
      </c>
      <c r="C33" s="446" t="s">
        <v>1885</v>
      </c>
      <c r="D33" s="446" t="s">
        <v>91</v>
      </c>
      <c r="E33" s="407" t="s">
        <v>1898</v>
      </c>
    </row>
    <row r="34" spans="1:5" ht="162">
      <c r="A34" s="444">
        <v>43990</v>
      </c>
      <c r="B34" s="445" t="s">
        <v>1292</v>
      </c>
      <c r="C34" s="446" t="s">
        <v>1899</v>
      </c>
      <c r="D34" s="446" t="s">
        <v>1359</v>
      </c>
      <c r="E34" s="407" t="s">
        <v>1900</v>
      </c>
    </row>
    <row r="35" spans="1:5" ht="409.5">
      <c r="A35" s="444">
        <v>44018</v>
      </c>
      <c r="B35" s="445" t="s">
        <v>1292</v>
      </c>
      <c r="C35" s="446" t="s">
        <v>1828</v>
      </c>
      <c r="D35" s="446" t="s">
        <v>1530</v>
      </c>
      <c r="E35" s="407" t="s">
        <v>1910</v>
      </c>
    </row>
    <row r="36" spans="1:5" ht="409.5">
      <c r="A36" s="444">
        <v>44120</v>
      </c>
      <c r="B36" s="445" t="s">
        <v>1292</v>
      </c>
      <c r="C36" s="446" t="s">
        <v>1961</v>
      </c>
      <c r="D36" s="446" t="s">
        <v>91</v>
      </c>
      <c r="E36" s="407" t="s">
        <v>1962</v>
      </c>
    </row>
    <row r="37" spans="1:5" ht="409.5">
      <c r="A37" s="444">
        <v>44193</v>
      </c>
      <c r="B37" s="445" t="s">
        <v>1292</v>
      </c>
      <c r="C37" s="446" t="s">
        <v>1961</v>
      </c>
      <c r="D37" s="446" t="s">
        <v>1530</v>
      </c>
      <c r="E37" s="407" t="s">
        <v>2019</v>
      </c>
    </row>
    <row r="38" spans="1:5" ht="405">
      <c r="A38" s="444">
        <v>44223</v>
      </c>
      <c r="B38" s="445" t="s">
        <v>1292</v>
      </c>
      <c r="C38" s="446" t="s">
        <v>2035</v>
      </c>
      <c r="D38" s="446" t="s">
        <v>91</v>
      </c>
      <c r="E38" s="407" t="s">
        <v>2034</v>
      </c>
    </row>
    <row r="39" spans="1:5" ht="409.6" thickBot="1">
      <c r="A39" s="509">
        <v>44228</v>
      </c>
      <c r="B39" s="510" t="s">
        <v>1292</v>
      </c>
      <c r="C39" s="514" t="s">
        <v>1961</v>
      </c>
      <c r="D39" s="514" t="s">
        <v>1359</v>
      </c>
      <c r="E39" s="518" t="s">
        <v>2036</v>
      </c>
    </row>
    <row r="40" spans="1:5">
      <c r="A40" s="599">
        <v>44544</v>
      </c>
      <c r="B40" s="596" t="s">
        <v>1279</v>
      </c>
      <c r="C40" s="593" t="s">
        <v>2037</v>
      </c>
      <c r="D40" s="603" t="s">
        <v>1530</v>
      </c>
      <c r="E40" s="512" t="s">
        <v>2052</v>
      </c>
    </row>
    <row r="41" spans="1:5" ht="32.1" customHeight="1">
      <c r="A41" s="600"/>
      <c r="B41" s="597"/>
      <c r="C41" s="594"/>
      <c r="D41" s="604"/>
      <c r="E41" s="407" t="s">
        <v>2038</v>
      </c>
    </row>
    <row r="42" spans="1:5">
      <c r="A42" s="600"/>
      <c r="B42" s="597"/>
      <c r="C42" s="594"/>
      <c r="D42" s="604"/>
      <c r="E42" s="407" t="s">
        <v>2043</v>
      </c>
    </row>
    <row r="43" spans="1:5" ht="27">
      <c r="A43" s="600"/>
      <c r="B43" s="597"/>
      <c r="C43" s="594"/>
      <c r="D43" s="604"/>
      <c r="E43" s="407" t="s">
        <v>2040</v>
      </c>
    </row>
    <row r="44" spans="1:5" ht="40.5">
      <c r="A44" s="600"/>
      <c r="B44" s="597"/>
      <c r="C44" s="594"/>
      <c r="D44" s="604"/>
      <c r="E44" s="407" t="s">
        <v>2041</v>
      </c>
    </row>
    <row r="45" spans="1:5">
      <c r="A45" s="600"/>
      <c r="B45" s="597"/>
      <c r="C45" s="594"/>
      <c r="D45" s="604"/>
      <c r="E45" s="407" t="s">
        <v>2077</v>
      </c>
    </row>
    <row r="46" spans="1:5" ht="27">
      <c r="A46" s="600"/>
      <c r="B46" s="597"/>
      <c r="C46" s="594"/>
      <c r="D46" s="604"/>
      <c r="E46" s="407" t="s">
        <v>2078</v>
      </c>
    </row>
    <row r="47" spans="1:5" ht="40.5">
      <c r="A47" s="600"/>
      <c r="B47" s="597"/>
      <c r="C47" s="594"/>
      <c r="D47" s="604"/>
      <c r="E47" s="407" t="s">
        <v>2079</v>
      </c>
    </row>
    <row r="48" spans="1:5" ht="27">
      <c r="A48" s="600"/>
      <c r="B48" s="597"/>
      <c r="C48" s="594"/>
      <c r="D48" s="604"/>
      <c r="E48" s="407" t="s">
        <v>2080</v>
      </c>
    </row>
    <row r="49" spans="1:5" ht="27">
      <c r="A49" s="600"/>
      <c r="B49" s="597"/>
      <c r="C49" s="594"/>
      <c r="D49" s="604"/>
      <c r="E49" s="407" t="s">
        <v>2081</v>
      </c>
    </row>
    <row r="50" spans="1:5">
      <c r="A50" s="600"/>
      <c r="B50" s="597"/>
      <c r="C50" s="594"/>
      <c r="D50" s="604"/>
      <c r="E50" s="451" t="s">
        <v>2082</v>
      </c>
    </row>
    <row r="51" spans="1:5" ht="27">
      <c r="A51" s="600"/>
      <c r="B51" s="597"/>
      <c r="C51" s="594"/>
      <c r="D51" s="604"/>
      <c r="E51" s="407" t="s">
        <v>2091</v>
      </c>
    </row>
    <row r="52" spans="1:5" ht="27">
      <c r="A52" s="600"/>
      <c r="B52" s="597"/>
      <c r="C52" s="594"/>
      <c r="D52" s="604"/>
      <c r="E52" s="407" t="s">
        <v>2092</v>
      </c>
    </row>
    <row r="53" spans="1:5" ht="27">
      <c r="A53" s="600"/>
      <c r="B53" s="597"/>
      <c r="C53" s="594"/>
      <c r="D53" s="604" t="s">
        <v>91</v>
      </c>
      <c r="E53" s="407" t="s">
        <v>2071</v>
      </c>
    </row>
    <row r="54" spans="1:5">
      <c r="A54" s="600"/>
      <c r="B54" s="597"/>
      <c r="C54" s="594"/>
      <c r="D54" s="604"/>
      <c r="E54" s="407" t="s">
        <v>2093</v>
      </c>
    </row>
    <row r="55" spans="1:5" ht="27">
      <c r="A55" s="600"/>
      <c r="B55" s="597"/>
      <c r="C55" s="594"/>
      <c r="D55" s="604"/>
      <c r="E55" s="407" t="s">
        <v>2094</v>
      </c>
    </row>
    <row r="56" spans="1:5">
      <c r="A56" s="600"/>
      <c r="B56" s="597"/>
      <c r="C56" s="594"/>
      <c r="D56" s="604" t="s">
        <v>2065</v>
      </c>
      <c r="E56" s="407" t="s">
        <v>2083</v>
      </c>
    </row>
    <row r="57" spans="1:5">
      <c r="A57" s="600"/>
      <c r="B57" s="597"/>
      <c r="C57" s="594"/>
      <c r="D57" s="604"/>
      <c r="E57" s="407" t="s">
        <v>2084</v>
      </c>
    </row>
    <row r="58" spans="1:5" ht="15.75" customHeight="1">
      <c r="A58" s="600"/>
      <c r="B58" s="597"/>
      <c r="C58" s="594"/>
      <c r="D58" s="604"/>
      <c r="E58" s="407" t="s">
        <v>2085</v>
      </c>
    </row>
    <row r="59" spans="1:5" ht="22.15" customHeight="1">
      <c r="A59" s="600"/>
      <c r="B59" s="597"/>
      <c r="C59" s="594"/>
      <c r="D59" s="604"/>
      <c r="E59" s="407" t="s">
        <v>2086</v>
      </c>
    </row>
    <row r="60" spans="1:5">
      <c r="A60" s="600"/>
      <c r="B60" s="597"/>
      <c r="C60" s="594"/>
      <c r="D60" s="604"/>
      <c r="E60" s="407" t="s">
        <v>2087</v>
      </c>
    </row>
    <row r="61" spans="1:5" ht="27">
      <c r="A61" s="600"/>
      <c r="B61" s="597"/>
      <c r="C61" s="594"/>
      <c r="D61" s="446" t="s">
        <v>2044</v>
      </c>
      <c r="E61" s="407" t="s">
        <v>2042</v>
      </c>
    </row>
    <row r="62" spans="1:5" ht="40.5">
      <c r="A62" s="600"/>
      <c r="B62" s="597"/>
      <c r="C62" s="594"/>
      <c r="D62" s="604" t="s">
        <v>2076</v>
      </c>
      <c r="E62" s="407" t="s">
        <v>2088</v>
      </c>
    </row>
    <row r="63" spans="1:5" ht="27">
      <c r="A63" s="600"/>
      <c r="B63" s="597"/>
      <c r="C63" s="594"/>
      <c r="D63" s="604"/>
      <c r="E63" s="407" t="s">
        <v>2089</v>
      </c>
    </row>
    <row r="64" spans="1:5" ht="27">
      <c r="A64" s="600"/>
      <c r="B64" s="597"/>
      <c r="C64" s="594"/>
      <c r="D64" s="604"/>
      <c r="E64" s="407" t="s">
        <v>2090</v>
      </c>
    </row>
    <row r="65" spans="1:5" ht="40.5">
      <c r="A65" s="600"/>
      <c r="B65" s="597"/>
      <c r="C65" s="594"/>
      <c r="D65" s="604"/>
      <c r="E65" s="407" t="s">
        <v>2075</v>
      </c>
    </row>
    <row r="66" spans="1:5" ht="27" customHeight="1">
      <c r="A66" s="600"/>
      <c r="B66" s="597"/>
      <c r="C66" s="594"/>
      <c r="D66" s="604"/>
      <c r="E66" s="407" t="s">
        <v>2095</v>
      </c>
    </row>
    <row r="67" spans="1:5" ht="27" customHeight="1">
      <c r="A67" s="600"/>
      <c r="B67" s="597"/>
      <c r="C67" s="594"/>
      <c r="D67" s="604"/>
      <c r="E67" s="407" t="s">
        <v>2096</v>
      </c>
    </row>
    <row r="68" spans="1:5" ht="27">
      <c r="A68" s="600"/>
      <c r="B68" s="597"/>
      <c r="C68" s="594"/>
      <c r="D68" s="604"/>
      <c r="E68" s="407" t="s">
        <v>2097</v>
      </c>
    </row>
    <row r="69" spans="1:5" ht="27" customHeight="1">
      <c r="A69" s="600"/>
      <c r="B69" s="597"/>
      <c r="C69" s="594"/>
      <c r="D69" s="604"/>
      <c r="E69" s="407" t="s">
        <v>2098</v>
      </c>
    </row>
    <row r="70" spans="1:5" ht="27.75" thickBot="1">
      <c r="A70" s="600"/>
      <c r="B70" s="597"/>
      <c r="C70" s="594"/>
      <c r="D70" s="590"/>
      <c r="E70" s="518" t="s">
        <v>2099</v>
      </c>
    </row>
    <row r="71" spans="1:5" ht="27">
      <c r="A71" s="599">
        <v>44582</v>
      </c>
      <c r="B71" s="596" t="s">
        <v>1279</v>
      </c>
      <c r="C71" s="593" t="s">
        <v>2108</v>
      </c>
      <c r="D71" s="605" t="s">
        <v>1530</v>
      </c>
      <c r="E71" s="512" t="s">
        <v>2109</v>
      </c>
    </row>
    <row r="72" spans="1:5" ht="40.5">
      <c r="A72" s="600"/>
      <c r="B72" s="597"/>
      <c r="C72" s="594"/>
      <c r="D72" s="591"/>
      <c r="E72" s="407" t="s">
        <v>2110</v>
      </c>
    </row>
    <row r="73" spans="1:5" ht="54">
      <c r="A73" s="600"/>
      <c r="B73" s="597"/>
      <c r="C73" s="594"/>
      <c r="D73" s="591"/>
      <c r="E73" s="407" t="s">
        <v>2111</v>
      </c>
    </row>
    <row r="74" spans="1:5" ht="27">
      <c r="A74" s="600"/>
      <c r="B74" s="597"/>
      <c r="C74" s="594"/>
      <c r="D74" s="591"/>
      <c r="E74" s="407" t="s">
        <v>2112</v>
      </c>
    </row>
    <row r="75" spans="1:5">
      <c r="A75" s="600"/>
      <c r="B75" s="597"/>
      <c r="C75" s="594"/>
      <c r="D75" s="591"/>
      <c r="E75" s="407" t="s">
        <v>2113</v>
      </c>
    </row>
    <row r="76" spans="1:5" ht="27">
      <c r="A76" s="600"/>
      <c r="B76" s="597"/>
      <c r="C76" s="594"/>
      <c r="D76" s="591"/>
      <c r="E76" s="407" t="s">
        <v>2114</v>
      </c>
    </row>
    <row r="77" spans="1:5" ht="27">
      <c r="A77" s="600"/>
      <c r="B77" s="597"/>
      <c r="C77" s="594"/>
      <c r="D77" s="592"/>
      <c r="E77" s="407" t="s">
        <v>2115</v>
      </c>
    </row>
    <row r="78" spans="1:5">
      <c r="A78" s="600"/>
      <c r="B78" s="597"/>
      <c r="C78" s="594"/>
      <c r="D78" s="513" t="s">
        <v>91</v>
      </c>
      <c r="E78" s="407" t="s">
        <v>2120</v>
      </c>
    </row>
    <row r="79" spans="1:5">
      <c r="A79" s="600"/>
      <c r="B79" s="597"/>
      <c r="C79" s="594"/>
      <c r="D79" s="590" t="s">
        <v>2065</v>
      </c>
      <c r="E79" s="407" t="s">
        <v>2116</v>
      </c>
    </row>
    <row r="80" spans="1:5" ht="27">
      <c r="A80" s="600"/>
      <c r="B80" s="597"/>
      <c r="C80" s="594"/>
      <c r="D80" s="592"/>
      <c r="E80" s="407" t="s">
        <v>2117</v>
      </c>
    </row>
    <row r="81" spans="1:5" ht="27">
      <c r="A81" s="600"/>
      <c r="B81" s="597"/>
      <c r="C81" s="594"/>
      <c r="D81" s="590" t="s">
        <v>2076</v>
      </c>
      <c r="E81" s="407" t="s">
        <v>2118</v>
      </c>
    </row>
    <row r="82" spans="1:5" ht="22.15" customHeight="1" thickBot="1">
      <c r="A82" s="600"/>
      <c r="B82" s="597"/>
      <c r="C82" s="594"/>
      <c r="D82" s="591"/>
      <c r="E82" s="518" t="s">
        <v>2119</v>
      </c>
    </row>
    <row r="83" spans="1:5">
      <c r="A83" s="599">
        <v>44670</v>
      </c>
      <c r="B83" s="596" t="s">
        <v>1279</v>
      </c>
      <c r="C83" s="593" t="s">
        <v>2138</v>
      </c>
      <c r="D83" s="605" t="s">
        <v>1530</v>
      </c>
      <c r="E83" s="512" t="s">
        <v>2139</v>
      </c>
    </row>
    <row r="84" spans="1:5" ht="67.5">
      <c r="A84" s="600"/>
      <c r="B84" s="597"/>
      <c r="C84" s="594"/>
      <c r="D84" s="592"/>
      <c r="E84" s="407" t="s">
        <v>2140</v>
      </c>
    </row>
    <row r="85" spans="1:5" ht="67.5">
      <c r="A85" s="600"/>
      <c r="B85" s="597"/>
      <c r="C85" s="594"/>
      <c r="D85" s="590" t="s">
        <v>2065</v>
      </c>
      <c r="E85" s="407" t="s">
        <v>2141</v>
      </c>
    </row>
    <row r="86" spans="1:5">
      <c r="A86" s="600"/>
      <c r="B86" s="597"/>
      <c r="C86" s="594"/>
      <c r="D86" s="592"/>
      <c r="E86" s="407" t="s">
        <v>2142</v>
      </c>
    </row>
    <row r="87" spans="1:5" ht="40.5">
      <c r="A87" s="600"/>
      <c r="B87" s="597"/>
      <c r="C87" s="594"/>
      <c r="D87" s="590" t="s">
        <v>1359</v>
      </c>
      <c r="E87" s="407" t="s">
        <v>2143</v>
      </c>
    </row>
    <row r="88" spans="1:5" ht="42" customHeight="1" thickBot="1">
      <c r="A88" s="600"/>
      <c r="B88" s="597"/>
      <c r="C88" s="594"/>
      <c r="D88" s="591"/>
      <c r="E88" s="519" t="s">
        <v>2144</v>
      </c>
    </row>
    <row r="89" spans="1:5" ht="27">
      <c r="A89" s="599">
        <v>44836</v>
      </c>
      <c r="B89" s="596" t="s">
        <v>1279</v>
      </c>
      <c r="C89" s="593" t="s">
        <v>2173</v>
      </c>
      <c r="D89" s="520" t="s">
        <v>1530</v>
      </c>
      <c r="E89" s="512" t="s">
        <v>2174</v>
      </c>
    </row>
    <row r="90" spans="1:5" ht="94.5">
      <c r="A90" s="600"/>
      <c r="B90" s="597"/>
      <c r="C90" s="594"/>
      <c r="D90" s="446"/>
      <c r="E90" s="407" t="s">
        <v>2175</v>
      </c>
    </row>
    <row r="91" spans="1:5" ht="67.5">
      <c r="A91" s="600"/>
      <c r="B91" s="597"/>
      <c r="C91" s="594"/>
      <c r="D91" s="446"/>
      <c r="E91" s="407" t="s">
        <v>2182</v>
      </c>
    </row>
    <row r="92" spans="1:5" ht="54">
      <c r="A92" s="600"/>
      <c r="B92" s="597"/>
      <c r="C92" s="594"/>
      <c r="D92" s="446"/>
      <c r="E92" s="407" t="s">
        <v>2183</v>
      </c>
    </row>
    <row r="93" spans="1:5" ht="94.5">
      <c r="A93" s="600"/>
      <c r="B93" s="597"/>
      <c r="C93" s="594"/>
      <c r="D93" s="446" t="s">
        <v>91</v>
      </c>
      <c r="E93" s="407" t="s">
        <v>2176</v>
      </c>
    </row>
    <row r="94" spans="1:5">
      <c r="A94" s="600"/>
      <c r="B94" s="597"/>
      <c r="C94" s="594"/>
      <c r="D94" s="446"/>
      <c r="E94" s="407" t="s">
        <v>2184</v>
      </c>
    </row>
    <row r="95" spans="1:5">
      <c r="A95" s="600"/>
      <c r="B95" s="597"/>
      <c r="C95" s="594"/>
      <c r="D95" s="446"/>
      <c r="E95" s="407" t="s">
        <v>2185</v>
      </c>
    </row>
    <row r="96" spans="1:5" ht="27">
      <c r="A96" s="600"/>
      <c r="B96" s="597"/>
      <c r="C96" s="594"/>
      <c r="D96" s="446"/>
      <c r="E96" s="407" t="s">
        <v>2186</v>
      </c>
    </row>
    <row r="97" spans="1:5" ht="27">
      <c r="A97" s="600"/>
      <c r="B97" s="597"/>
      <c r="C97" s="594"/>
      <c r="D97" s="446"/>
      <c r="E97" s="407" t="s">
        <v>2187</v>
      </c>
    </row>
    <row r="98" spans="1:5" ht="40.5">
      <c r="A98" s="600"/>
      <c r="B98" s="597"/>
      <c r="C98" s="594"/>
      <c r="D98" s="446"/>
      <c r="E98" s="407" t="s">
        <v>2177</v>
      </c>
    </row>
    <row r="99" spans="1:5">
      <c r="A99" s="600"/>
      <c r="B99" s="597"/>
      <c r="C99" s="594"/>
      <c r="D99" s="446"/>
      <c r="E99" s="407" t="s">
        <v>2178</v>
      </c>
    </row>
    <row r="100" spans="1:5" ht="27">
      <c r="A100" s="600"/>
      <c r="B100" s="597"/>
      <c r="C100" s="594"/>
      <c r="D100" s="446" t="s">
        <v>2065</v>
      </c>
      <c r="E100" s="407" t="s">
        <v>2188</v>
      </c>
    </row>
    <row r="101" spans="1:5" ht="27">
      <c r="A101" s="600"/>
      <c r="B101" s="597"/>
      <c r="C101" s="594"/>
      <c r="D101" s="446"/>
      <c r="E101" s="407" t="s">
        <v>2189</v>
      </c>
    </row>
    <row r="102" spans="1:5" ht="94.5">
      <c r="A102" s="600"/>
      <c r="B102" s="597"/>
      <c r="C102" s="594"/>
      <c r="D102" s="446"/>
      <c r="E102" s="407" t="s">
        <v>2190</v>
      </c>
    </row>
    <row r="103" spans="1:5" ht="40.5">
      <c r="A103" s="600"/>
      <c r="B103" s="597"/>
      <c r="C103" s="594"/>
      <c r="D103" s="446" t="s">
        <v>1359</v>
      </c>
      <c r="E103" s="407" t="s">
        <v>2191</v>
      </c>
    </row>
    <row r="104" spans="1:5" ht="40.5">
      <c r="A104" s="600"/>
      <c r="B104" s="597"/>
      <c r="C104" s="594"/>
      <c r="D104" s="446"/>
      <c r="E104" s="407" t="s">
        <v>2192</v>
      </c>
    </row>
    <row r="105" spans="1:5">
      <c r="A105" s="600"/>
      <c r="B105" s="597"/>
      <c r="C105" s="594"/>
      <c r="D105" s="446"/>
      <c r="E105" s="407" t="s">
        <v>2193</v>
      </c>
    </row>
    <row r="106" spans="1:5">
      <c r="A106" s="600"/>
      <c r="B106" s="597"/>
      <c r="C106" s="594"/>
      <c r="D106" s="446"/>
      <c r="E106" s="407" t="s">
        <v>2194</v>
      </c>
    </row>
    <row r="107" spans="1:5" ht="54">
      <c r="A107" s="600"/>
      <c r="B107" s="597"/>
      <c r="C107" s="594"/>
      <c r="D107" s="446" t="s">
        <v>2076</v>
      </c>
      <c r="E107" s="407" t="s">
        <v>2179</v>
      </c>
    </row>
    <row r="108" spans="1:5" ht="27">
      <c r="A108" s="600"/>
      <c r="B108" s="597"/>
      <c r="C108" s="594"/>
      <c r="D108" s="446"/>
      <c r="E108" s="407" t="s">
        <v>2180</v>
      </c>
    </row>
    <row r="109" spans="1:5" ht="81">
      <c r="A109" s="600"/>
      <c r="B109" s="597"/>
      <c r="C109" s="594"/>
      <c r="D109" s="446"/>
      <c r="E109" s="407" t="s">
        <v>2181</v>
      </c>
    </row>
    <row r="110" spans="1:5" ht="40.5">
      <c r="A110" s="600"/>
      <c r="B110" s="597"/>
      <c r="C110" s="594"/>
      <c r="D110" s="446"/>
      <c r="E110" s="407" t="s">
        <v>2195</v>
      </c>
    </row>
    <row r="111" spans="1:5" ht="16.5" thickBot="1">
      <c r="A111" s="600"/>
      <c r="B111" s="597"/>
      <c r="C111" s="594"/>
      <c r="D111" s="514"/>
      <c r="E111" s="518" t="s">
        <v>2196</v>
      </c>
    </row>
    <row r="112" spans="1:5" ht="27.75" thickBot="1">
      <c r="A112" s="515">
        <v>44840</v>
      </c>
      <c r="B112" s="516" t="s">
        <v>1279</v>
      </c>
      <c r="C112" s="517" t="s">
        <v>2197</v>
      </c>
      <c r="D112" s="511" t="s">
        <v>2076</v>
      </c>
      <c r="E112" s="521" t="s">
        <v>2198</v>
      </c>
    </row>
    <row r="113" spans="1:5" ht="54">
      <c r="A113" s="599">
        <v>44963</v>
      </c>
      <c r="B113" s="596" t="s">
        <v>1279</v>
      </c>
      <c r="C113" s="593" t="s">
        <v>2204</v>
      </c>
      <c r="D113" s="520" t="s">
        <v>1530</v>
      </c>
      <c r="E113" s="512" t="s">
        <v>2205</v>
      </c>
    </row>
    <row r="114" spans="1:5" ht="27">
      <c r="A114" s="600"/>
      <c r="B114" s="597"/>
      <c r="C114" s="594"/>
      <c r="D114" s="446" t="s">
        <v>91</v>
      </c>
      <c r="E114" s="407" t="s">
        <v>2206</v>
      </c>
    </row>
    <row r="115" spans="1:5" ht="54">
      <c r="A115" s="600"/>
      <c r="B115" s="597"/>
      <c r="C115" s="594"/>
      <c r="D115" s="446" t="s">
        <v>2065</v>
      </c>
      <c r="E115" s="407" t="s">
        <v>2209</v>
      </c>
    </row>
    <row r="116" spans="1:5" ht="81">
      <c r="A116" s="600"/>
      <c r="B116" s="597"/>
      <c r="C116" s="594"/>
      <c r="D116" s="446" t="s">
        <v>2076</v>
      </c>
      <c r="E116" s="407" t="s">
        <v>2207</v>
      </c>
    </row>
    <row r="117" spans="1:5" ht="81.75" thickBot="1">
      <c r="A117" s="601"/>
      <c r="B117" s="598"/>
      <c r="C117" s="595"/>
      <c r="D117" s="446" t="s">
        <v>2076</v>
      </c>
      <c r="E117" s="407" t="s">
        <v>2208</v>
      </c>
    </row>
    <row r="118" spans="1:5" ht="54">
      <c r="A118" s="599">
        <v>45020</v>
      </c>
      <c r="B118" s="596" t="s">
        <v>1279</v>
      </c>
      <c r="C118" s="593" t="s">
        <v>2222</v>
      </c>
      <c r="D118" s="605" t="s">
        <v>1530</v>
      </c>
      <c r="E118" s="512" t="s">
        <v>2223</v>
      </c>
    </row>
    <row r="119" spans="1:5">
      <c r="A119" s="600"/>
      <c r="B119" s="597"/>
      <c r="C119" s="594"/>
      <c r="D119" s="591"/>
      <c r="E119" s="407" t="s">
        <v>2224</v>
      </c>
    </row>
    <row r="120" spans="1:5" ht="27">
      <c r="A120" s="600"/>
      <c r="B120" s="597"/>
      <c r="C120" s="594"/>
      <c r="D120" s="592"/>
      <c r="E120" s="407" t="s">
        <v>2225</v>
      </c>
    </row>
    <row r="121" spans="1:5">
      <c r="A121" s="600"/>
      <c r="B121" s="597"/>
      <c r="C121" s="594"/>
      <c r="D121" s="446" t="s">
        <v>91</v>
      </c>
      <c r="E121" s="407" t="s">
        <v>2226</v>
      </c>
    </row>
    <row r="122" spans="1:5">
      <c r="A122" s="600"/>
      <c r="B122" s="597"/>
      <c r="C122" s="594"/>
      <c r="D122" s="446" t="s">
        <v>2065</v>
      </c>
      <c r="E122" s="407" t="s">
        <v>2227</v>
      </c>
    </row>
    <row r="123" spans="1:5" ht="27">
      <c r="A123" s="600"/>
      <c r="B123" s="597"/>
      <c r="C123" s="594"/>
      <c r="D123" s="590" t="s">
        <v>2076</v>
      </c>
      <c r="E123" s="407" t="s">
        <v>2228</v>
      </c>
    </row>
    <row r="124" spans="1:5" ht="54">
      <c r="A124" s="600"/>
      <c r="B124" s="597"/>
      <c r="C124" s="594"/>
      <c r="D124" s="591"/>
      <c r="E124" s="407" t="s">
        <v>2229</v>
      </c>
    </row>
    <row r="125" spans="1:5" ht="16.5" thickBot="1">
      <c r="A125" s="600"/>
      <c r="B125" s="597"/>
      <c r="C125" s="594"/>
      <c r="D125" s="591"/>
      <c r="E125" s="518" t="s">
        <v>2230</v>
      </c>
    </row>
    <row r="126" spans="1:5" ht="27">
      <c r="A126" s="599">
        <v>45055</v>
      </c>
      <c r="B126" s="596" t="s">
        <v>1279</v>
      </c>
      <c r="C126" s="593" t="s">
        <v>2238</v>
      </c>
      <c r="D126" s="520" t="s">
        <v>1530</v>
      </c>
      <c r="E126" s="512" t="s">
        <v>2239</v>
      </c>
    </row>
    <row r="127" spans="1:5" ht="16.5" thickBot="1">
      <c r="A127" s="600"/>
      <c r="B127" s="597"/>
      <c r="C127" s="594"/>
      <c r="D127" s="514" t="s">
        <v>2065</v>
      </c>
      <c r="E127" s="518" t="s">
        <v>2240</v>
      </c>
    </row>
    <row r="128" spans="1:5" ht="41.25" thickBot="1">
      <c r="A128" s="524">
        <v>45079</v>
      </c>
      <c r="B128" s="525" t="s">
        <v>1279</v>
      </c>
      <c r="C128" s="526" t="s">
        <v>2242</v>
      </c>
      <c r="D128" s="520" t="s">
        <v>1530</v>
      </c>
      <c r="E128" s="512" t="s">
        <v>2243</v>
      </c>
    </row>
    <row r="129" spans="1:5" ht="27">
      <c r="A129" s="599">
        <v>45145</v>
      </c>
      <c r="B129" s="596" t="s">
        <v>1279</v>
      </c>
      <c r="C129" s="593" t="s">
        <v>2248</v>
      </c>
      <c r="D129" s="520" t="s">
        <v>1530</v>
      </c>
      <c r="E129" s="512" t="s">
        <v>2249</v>
      </c>
    </row>
    <row r="130" spans="1:5" ht="40.5">
      <c r="A130" s="600"/>
      <c r="B130" s="597"/>
      <c r="C130" s="594"/>
      <c r="D130" s="446" t="s">
        <v>91</v>
      </c>
      <c r="E130" s="7" t="s">
        <v>2255</v>
      </c>
    </row>
    <row r="131" spans="1:5" ht="15">
      <c r="A131" s="600"/>
      <c r="B131" s="597"/>
      <c r="C131" s="594"/>
      <c r="D131" s="590" t="s">
        <v>2065</v>
      </c>
      <c r="E131" s="7" t="s">
        <v>2250</v>
      </c>
    </row>
    <row r="132" spans="1:5" ht="54">
      <c r="A132" s="600"/>
      <c r="B132" s="597"/>
      <c r="C132" s="594"/>
      <c r="D132" s="592"/>
      <c r="E132" s="7" t="s">
        <v>2251</v>
      </c>
    </row>
    <row r="133" spans="1:5" ht="15">
      <c r="A133" s="600"/>
      <c r="B133" s="597"/>
      <c r="C133" s="594"/>
      <c r="D133" s="590" t="s">
        <v>2076</v>
      </c>
      <c r="E133" s="7" t="s">
        <v>2252</v>
      </c>
    </row>
    <row r="134" spans="1:5" thickBot="1">
      <c r="A134" s="600"/>
      <c r="B134" s="597"/>
      <c r="C134" s="594"/>
      <c r="D134" s="591"/>
      <c r="E134" s="535" t="s">
        <v>2253</v>
      </c>
    </row>
    <row r="135" spans="1:5" ht="54">
      <c r="A135" s="599">
        <v>45336</v>
      </c>
      <c r="B135" s="596" t="s">
        <v>1279</v>
      </c>
      <c r="C135" s="593" t="s">
        <v>2294</v>
      </c>
      <c r="D135" s="520" t="s">
        <v>1530</v>
      </c>
      <c r="E135" s="536" t="s">
        <v>2309</v>
      </c>
    </row>
    <row r="136" spans="1:5" ht="15">
      <c r="A136" s="600"/>
      <c r="B136" s="597"/>
      <c r="C136" s="594"/>
      <c r="D136" s="446" t="s">
        <v>91</v>
      </c>
      <c r="E136" s="7" t="s">
        <v>2310</v>
      </c>
    </row>
    <row r="137" spans="1:5" ht="15">
      <c r="A137" s="600"/>
      <c r="B137" s="597"/>
      <c r="C137" s="594"/>
      <c r="D137" s="540" t="s">
        <v>2065</v>
      </c>
      <c r="E137" s="7" t="s">
        <v>2311</v>
      </c>
    </row>
    <row r="138" spans="1:5" ht="40.5">
      <c r="A138" s="600"/>
      <c r="B138" s="597"/>
      <c r="C138" s="594"/>
      <c r="D138" s="591" t="s">
        <v>2076</v>
      </c>
      <c r="E138" s="7" t="s">
        <v>2312</v>
      </c>
    </row>
    <row r="139" spans="1:5" ht="27" customHeight="1">
      <c r="A139" s="600"/>
      <c r="B139" s="597"/>
      <c r="C139" s="594"/>
      <c r="D139" s="591"/>
      <c r="E139" s="7" t="s">
        <v>2313</v>
      </c>
    </row>
    <row r="140" spans="1:5" ht="27" customHeight="1">
      <c r="A140" s="600"/>
      <c r="B140" s="597"/>
      <c r="C140" s="594"/>
      <c r="D140" s="591"/>
      <c r="E140" s="7" t="s">
        <v>2314</v>
      </c>
    </row>
    <row r="141" spans="1:5" ht="27" customHeight="1" thickBot="1">
      <c r="A141" s="607"/>
      <c r="B141" s="608"/>
      <c r="C141" s="609"/>
      <c r="D141" s="606"/>
      <c r="E141" s="539" t="s">
        <v>2315</v>
      </c>
    </row>
    <row r="142" spans="1:5" ht="15">
      <c r="A142" s="599">
        <v>45404</v>
      </c>
      <c r="B142" s="596" t="s">
        <v>1279</v>
      </c>
      <c r="C142" s="593" t="s">
        <v>2328</v>
      </c>
      <c r="D142" s="605" t="s">
        <v>91</v>
      </c>
      <c r="E142" s="536" t="s">
        <v>2332</v>
      </c>
    </row>
    <row r="143" spans="1:5" ht="15">
      <c r="A143" s="600"/>
      <c r="B143" s="597"/>
      <c r="C143" s="594"/>
      <c r="D143" s="591"/>
      <c r="E143" s="7" t="s">
        <v>2333</v>
      </c>
    </row>
    <row r="144" spans="1:5" ht="81">
      <c r="A144" s="600"/>
      <c r="B144" s="597"/>
      <c r="C144" s="594"/>
      <c r="D144" s="592"/>
      <c r="E144" s="7" t="s">
        <v>2334</v>
      </c>
    </row>
    <row r="145" spans="1:5" ht="27">
      <c r="A145" s="600"/>
      <c r="B145" s="597"/>
      <c r="C145" s="594"/>
      <c r="D145" s="590" t="s">
        <v>2065</v>
      </c>
      <c r="E145" s="7" t="s">
        <v>2335</v>
      </c>
    </row>
    <row r="146" spans="1:5" ht="27">
      <c r="A146" s="600"/>
      <c r="B146" s="597"/>
      <c r="C146" s="594"/>
      <c r="D146" s="591"/>
      <c r="E146" s="7" t="s">
        <v>2336</v>
      </c>
    </row>
    <row r="147" spans="1:5" ht="15">
      <c r="A147" s="600"/>
      <c r="B147" s="597"/>
      <c r="C147" s="594"/>
      <c r="D147" s="592"/>
      <c r="E147" s="7" t="s">
        <v>2337</v>
      </c>
    </row>
    <row r="148" spans="1:5" ht="27">
      <c r="A148" s="600"/>
      <c r="B148" s="597"/>
      <c r="C148" s="594"/>
      <c r="D148" s="590" t="s">
        <v>2076</v>
      </c>
      <c r="E148" s="7" t="s">
        <v>2338</v>
      </c>
    </row>
    <row r="149" spans="1:5" ht="40.5">
      <c r="A149" s="601"/>
      <c r="B149" s="598"/>
      <c r="C149" s="595"/>
      <c r="D149" s="592"/>
      <c r="E149" s="7" t="s">
        <v>2339</v>
      </c>
    </row>
    <row r="150" spans="1:5" ht="135">
      <c r="A150" s="584">
        <v>45743</v>
      </c>
      <c r="B150" s="586" t="s">
        <v>2346</v>
      </c>
      <c r="C150" s="588" t="s">
        <v>2388</v>
      </c>
      <c r="D150" s="6" t="s">
        <v>2065</v>
      </c>
      <c r="E150" s="7" t="s">
        <v>2390</v>
      </c>
    </row>
    <row r="151" spans="1:5" ht="81">
      <c r="A151" s="585"/>
      <c r="B151" s="587"/>
      <c r="C151" s="589"/>
      <c r="D151" s="6" t="s">
        <v>91</v>
      </c>
      <c r="E151" s="7" t="s">
        <v>2389</v>
      </c>
    </row>
    <row r="152" spans="1:5">
      <c r="A152" s="4"/>
      <c r="B152" s="5"/>
      <c r="C152" s="6"/>
      <c r="D152" s="6"/>
      <c r="E152" s="7"/>
    </row>
    <row r="153" spans="1:5">
      <c r="A153" s="4"/>
      <c r="B153" s="5"/>
      <c r="C153" s="6"/>
      <c r="D153" s="6"/>
      <c r="E153" s="7"/>
    </row>
    <row r="154" spans="1:5">
      <c r="A154" s="4"/>
      <c r="B154" s="5"/>
      <c r="C154" s="6"/>
      <c r="D154" s="6"/>
      <c r="E154" s="7"/>
    </row>
    <row r="155" spans="1:5">
      <c r="A155" s="4"/>
      <c r="B155" s="5"/>
      <c r="C155" s="6"/>
      <c r="D155" s="6"/>
      <c r="E155" s="7"/>
    </row>
    <row r="156" spans="1:5">
      <c r="A156" s="4"/>
      <c r="B156" s="5"/>
      <c r="C156" s="6"/>
      <c r="D156" s="6"/>
      <c r="E156" s="7"/>
    </row>
    <row r="157" spans="1:5">
      <c r="A157" s="4"/>
      <c r="B157" s="5"/>
      <c r="C157" s="6"/>
      <c r="D157" s="6"/>
      <c r="E157" s="7"/>
    </row>
    <row r="158" spans="1:5">
      <c r="A158" s="4"/>
      <c r="B158" s="5"/>
      <c r="C158" s="6"/>
      <c r="D158" s="6"/>
      <c r="E158" s="7"/>
    </row>
    <row r="159" spans="1:5">
      <c r="A159" s="4"/>
      <c r="B159" s="5"/>
      <c r="C159" s="6"/>
      <c r="D159" s="6"/>
      <c r="E159" s="7"/>
    </row>
    <row r="160" spans="1:5">
      <c r="A160" s="4"/>
      <c r="B160" s="5"/>
      <c r="C160" s="6"/>
      <c r="D160" s="6"/>
      <c r="E160" s="7"/>
    </row>
    <row r="161" spans="1:5">
      <c r="A161" s="4"/>
      <c r="B161" s="5"/>
      <c r="C161" s="6"/>
      <c r="D161" s="6"/>
      <c r="E161" s="7"/>
    </row>
    <row r="162" spans="1:5">
      <c r="A162" s="4"/>
      <c r="B162" s="5"/>
      <c r="C162" s="6"/>
      <c r="D162" s="6"/>
      <c r="E162" s="7"/>
    </row>
    <row r="163" spans="1:5">
      <c r="A163" s="4"/>
      <c r="B163" s="5"/>
      <c r="C163" s="6"/>
      <c r="D163" s="6"/>
      <c r="E163" s="7"/>
    </row>
    <row r="164" spans="1:5">
      <c r="A164" s="4"/>
      <c r="B164" s="5"/>
      <c r="C164" s="6"/>
      <c r="D164" s="6"/>
      <c r="E164" s="7"/>
    </row>
    <row r="165" spans="1:5">
      <c r="A165" s="4"/>
      <c r="B165" s="5"/>
      <c r="C165" s="6"/>
      <c r="D165" s="6"/>
      <c r="E165" s="7"/>
    </row>
    <row r="166" spans="1:5">
      <c r="A166" s="4"/>
      <c r="B166" s="5"/>
      <c r="C166" s="6"/>
      <c r="D166" s="6"/>
      <c r="E166" s="7"/>
    </row>
    <row r="167" spans="1:5">
      <c r="A167" s="4"/>
      <c r="B167" s="5"/>
      <c r="C167" s="6"/>
      <c r="D167" s="6"/>
      <c r="E167" s="7"/>
    </row>
    <row r="168" spans="1:5">
      <c r="A168" s="4"/>
      <c r="B168" s="5"/>
      <c r="C168" s="6"/>
      <c r="D168" s="6"/>
      <c r="E168" s="7"/>
    </row>
    <row r="169" spans="1:5">
      <c r="A169" s="4"/>
      <c r="B169" s="5"/>
      <c r="C169" s="6"/>
      <c r="D169" s="6"/>
      <c r="E169" s="7"/>
    </row>
    <row r="170" spans="1:5">
      <c r="A170" s="4"/>
      <c r="B170" s="5"/>
      <c r="C170" s="6"/>
      <c r="D170" s="6"/>
      <c r="E170" s="7"/>
    </row>
    <row r="171" spans="1:5">
      <c r="A171" s="4"/>
      <c r="B171" s="5"/>
      <c r="C171" s="6"/>
      <c r="D171" s="6"/>
      <c r="E171" s="7"/>
    </row>
    <row r="172" spans="1:5">
      <c r="A172" s="4"/>
      <c r="B172" s="5"/>
      <c r="C172" s="6"/>
      <c r="D172" s="6"/>
      <c r="E172" s="7"/>
    </row>
    <row r="173" spans="1:5">
      <c r="A173" s="4"/>
      <c r="B173" s="5"/>
      <c r="C173" s="6"/>
      <c r="D173" s="6"/>
      <c r="E173" s="7"/>
    </row>
    <row r="174" spans="1:5">
      <c r="A174" s="4"/>
      <c r="B174" s="5"/>
      <c r="C174" s="6"/>
      <c r="D174" s="6"/>
      <c r="E174" s="7"/>
    </row>
    <row r="175" spans="1:5">
      <c r="A175" s="4"/>
      <c r="B175" s="5"/>
      <c r="C175" s="6"/>
      <c r="D175" s="6"/>
      <c r="E175" s="7"/>
    </row>
    <row r="176" spans="1:5">
      <c r="A176" s="4"/>
      <c r="B176" s="5"/>
      <c r="C176" s="6"/>
      <c r="D176" s="6"/>
      <c r="E176" s="7"/>
    </row>
    <row r="177" spans="1:5">
      <c r="A177" s="4"/>
      <c r="B177" s="5"/>
      <c r="C177" s="6"/>
      <c r="D177" s="6"/>
      <c r="E177" s="7"/>
    </row>
    <row r="178" spans="1:5">
      <c r="A178" s="4"/>
      <c r="B178" s="5"/>
      <c r="C178" s="6"/>
      <c r="D178" s="6"/>
      <c r="E178" s="7"/>
    </row>
    <row r="179" spans="1:5">
      <c r="A179" s="4"/>
      <c r="B179" s="5"/>
      <c r="C179" s="6"/>
      <c r="D179" s="6"/>
      <c r="E179" s="7"/>
    </row>
    <row r="180" spans="1:5">
      <c r="A180" s="4"/>
      <c r="B180" s="5"/>
      <c r="C180" s="6"/>
      <c r="D180" s="6"/>
      <c r="E180" s="7"/>
    </row>
    <row r="181" spans="1:5">
      <c r="A181" s="4"/>
      <c r="B181" s="5"/>
      <c r="C181" s="6"/>
      <c r="D181" s="6"/>
      <c r="E181" s="7"/>
    </row>
    <row r="182" spans="1:5">
      <c r="A182" s="4"/>
      <c r="B182" s="5"/>
      <c r="C182" s="6"/>
      <c r="D182" s="6"/>
      <c r="E182" s="7"/>
    </row>
    <row r="183" spans="1:5">
      <c r="A183" s="4"/>
      <c r="B183" s="5"/>
      <c r="C183" s="6"/>
      <c r="D183" s="6"/>
      <c r="E183" s="7"/>
    </row>
    <row r="184" spans="1:5">
      <c r="A184" s="4"/>
      <c r="B184" s="5"/>
      <c r="C184" s="6"/>
      <c r="D184" s="6"/>
      <c r="E184" s="7"/>
    </row>
    <row r="185" spans="1:5">
      <c r="A185" s="4"/>
      <c r="B185" s="5"/>
      <c r="C185" s="6"/>
      <c r="D185" s="6"/>
      <c r="E185" s="7"/>
    </row>
    <row r="186" spans="1:5">
      <c r="A186" s="4"/>
      <c r="B186" s="5"/>
      <c r="C186" s="6"/>
      <c r="D186" s="6"/>
      <c r="E186" s="7"/>
    </row>
    <row r="187" spans="1:5">
      <c r="A187" s="4"/>
      <c r="B187" s="5"/>
      <c r="C187" s="6"/>
      <c r="D187" s="6"/>
      <c r="E187" s="7"/>
    </row>
    <row r="188" spans="1:5">
      <c r="A188" s="4"/>
      <c r="B188" s="5"/>
      <c r="C188" s="6"/>
      <c r="D188" s="6"/>
      <c r="E188" s="7"/>
    </row>
    <row r="189" spans="1:5">
      <c r="A189" s="4"/>
      <c r="B189" s="5"/>
      <c r="C189" s="6"/>
      <c r="D189" s="6"/>
      <c r="E189" s="7"/>
    </row>
    <row r="190" spans="1:5">
      <c r="A190" s="4"/>
      <c r="B190" s="5"/>
      <c r="C190" s="6"/>
      <c r="D190" s="6"/>
      <c r="E190" s="7"/>
    </row>
    <row r="191" spans="1:5">
      <c r="A191" s="4"/>
      <c r="B191" s="5"/>
      <c r="C191" s="6"/>
      <c r="D191" s="6"/>
      <c r="E191" s="7"/>
    </row>
    <row r="192" spans="1:5">
      <c r="A192" s="4"/>
      <c r="B192" s="5"/>
      <c r="C192" s="6"/>
      <c r="D192" s="6"/>
      <c r="E192" s="7"/>
    </row>
    <row r="193" spans="1:5">
      <c r="A193" s="4"/>
      <c r="B193" s="5"/>
      <c r="C193" s="6"/>
      <c r="D193" s="6"/>
      <c r="E193" s="7"/>
    </row>
    <row r="194" spans="1:5">
      <c r="A194" s="4"/>
      <c r="B194" s="5"/>
      <c r="C194" s="6"/>
      <c r="D194" s="6"/>
      <c r="E194" s="7"/>
    </row>
    <row r="195" spans="1:5">
      <c r="A195" s="4"/>
      <c r="B195" s="5"/>
      <c r="C195" s="6"/>
      <c r="D195" s="6"/>
      <c r="E195" s="7"/>
    </row>
    <row r="196" spans="1:5">
      <c r="A196" s="4"/>
      <c r="B196" s="5"/>
      <c r="C196" s="6"/>
      <c r="D196" s="6"/>
      <c r="E196" s="7"/>
    </row>
    <row r="197" spans="1:5">
      <c r="A197" s="4"/>
      <c r="B197" s="5"/>
      <c r="C197" s="6"/>
      <c r="D197" s="6"/>
      <c r="E197" s="7"/>
    </row>
    <row r="198" spans="1:5">
      <c r="A198" s="4"/>
      <c r="B198" s="5"/>
      <c r="C198" s="6"/>
      <c r="D198" s="6"/>
      <c r="E198" s="7"/>
    </row>
    <row r="199" spans="1:5">
      <c r="A199" s="4"/>
      <c r="B199" s="5"/>
      <c r="C199" s="6"/>
      <c r="D199" s="6"/>
      <c r="E199" s="7"/>
    </row>
    <row r="200" spans="1:5">
      <c r="A200" s="4"/>
      <c r="B200" s="5"/>
      <c r="C200" s="6"/>
      <c r="D200" s="6"/>
      <c r="E200" s="7"/>
    </row>
    <row r="201" spans="1:5">
      <c r="A201" s="4"/>
      <c r="B201" s="5"/>
      <c r="C201" s="6"/>
      <c r="D201" s="6"/>
      <c r="E201" s="7"/>
    </row>
    <row r="202" spans="1:5">
      <c r="A202" s="4"/>
      <c r="B202" s="5"/>
      <c r="C202" s="6"/>
      <c r="D202" s="6"/>
      <c r="E202" s="7"/>
    </row>
    <row r="203" spans="1:5">
      <c r="A203" s="4"/>
      <c r="B203" s="5"/>
      <c r="C203" s="6"/>
      <c r="D203" s="6"/>
      <c r="E203" s="7"/>
    </row>
    <row r="204" spans="1:5">
      <c r="A204" s="4"/>
      <c r="B204" s="5"/>
      <c r="C204" s="6"/>
      <c r="D204" s="6"/>
      <c r="E204" s="7"/>
    </row>
    <row r="205" spans="1:5">
      <c r="A205" s="4"/>
      <c r="B205" s="5"/>
      <c r="C205" s="6"/>
      <c r="D205" s="6"/>
      <c r="E205" s="7"/>
    </row>
    <row r="206" spans="1:5">
      <c r="A206" s="4"/>
      <c r="B206" s="5"/>
      <c r="C206" s="6"/>
      <c r="D206" s="6"/>
      <c r="E206" s="7"/>
    </row>
    <row r="207" spans="1:5">
      <c r="A207" s="4"/>
      <c r="B207" s="5"/>
      <c r="C207" s="6"/>
      <c r="D207" s="6"/>
      <c r="E207" s="7"/>
    </row>
    <row r="208" spans="1:5">
      <c r="A208" s="4"/>
      <c r="B208" s="5"/>
      <c r="C208" s="6"/>
      <c r="D208" s="6"/>
      <c r="E208" s="7"/>
    </row>
    <row r="209" spans="1:5">
      <c r="A209" s="4"/>
      <c r="B209" s="5"/>
      <c r="C209" s="6"/>
      <c r="D209" s="6"/>
      <c r="E209" s="7"/>
    </row>
    <row r="210" spans="1:5">
      <c r="A210" s="4"/>
      <c r="B210" s="5"/>
      <c r="C210" s="6"/>
      <c r="D210" s="6"/>
      <c r="E210" s="7"/>
    </row>
    <row r="211" spans="1:5">
      <c r="A211" s="4"/>
      <c r="B211" s="5"/>
      <c r="C211" s="6"/>
      <c r="D211" s="6"/>
      <c r="E211" s="7"/>
    </row>
    <row r="212" spans="1:5">
      <c r="A212" s="4"/>
      <c r="B212" s="5"/>
      <c r="C212" s="6"/>
      <c r="D212" s="6"/>
      <c r="E212" s="7"/>
    </row>
    <row r="213" spans="1:5">
      <c r="A213" s="4"/>
      <c r="B213" s="5"/>
      <c r="C213" s="6"/>
      <c r="D213" s="6"/>
      <c r="E213" s="7"/>
    </row>
    <row r="214" spans="1:5">
      <c r="A214" s="4"/>
      <c r="B214" s="5"/>
      <c r="C214" s="6"/>
      <c r="D214" s="6"/>
      <c r="E214" s="7"/>
    </row>
    <row r="215" spans="1:5">
      <c r="A215" s="4"/>
      <c r="B215" s="5"/>
      <c r="C215" s="6"/>
      <c r="D215" s="6"/>
      <c r="E215" s="7"/>
    </row>
    <row r="216" spans="1:5">
      <c r="A216" s="4"/>
      <c r="B216" s="5"/>
      <c r="C216" s="6"/>
      <c r="D216" s="6"/>
      <c r="E216" s="7"/>
    </row>
    <row r="217" spans="1:5">
      <c r="A217" s="4"/>
      <c r="B217" s="5"/>
      <c r="C217" s="6"/>
      <c r="D217" s="6"/>
      <c r="E217" s="7"/>
    </row>
    <row r="218" spans="1:5">
      <c r="A218" s="4"/>
      <c r="B218" s="5"/>
      <c r="C218" s="6"/>
      <c r="D218" s="6"/>
      <c r="E218" s="7"/>
    </row>
    <row r="219" spans="1:5">
      <c r="A219" s="4"/>
      <c r="B219" s="5"/>
      <c r="C219" s="6"/>
      <c r="D219" s="6"/>
      <c r="E219" s="7"/>
    </row>
    <row r="220" spans="1:5">
      <c r="A220" s="4"/>
      <c r="B220" s="5"/>
      <c r="C220" s="6"/>
      <c r="D220" s="6"/>
      <c r="E220" s="7"/>
    </row>
    <row r="221" spans="1:5">
      <c r="A221" s="4"/>
      <c r="B221" s="5"/>
      <c r="C221" s="6"/>
      <c r="D221" s="6"/>
      <c r="E221" s="7"/>
    </row>
    <row r="222" spans="1:5">
      <c r="A222" s="4"/>
      <c r="B222" s="5"/>
      <c r="C222" s="6"/>
      <c r="D222" s="6"/>
      <c r="E222" s="7"/>
    </row>
    <row r="223" spans="1:5">
      <c r="A223" s="4"/>
      <c r="B223" s="5"/>
      <c r="C223" s="6"/>
      <c r="D223" s="6"/>
      <c r="E223" s="7"/>
    </row>
    <row r="224" spans="1:5">
      <c r="A224" s="4"/>
      <c r="B224" s="5"/>
      <c r="C224" s="6"/>
      <c r="D224" s="6"/>
      <c r="E224" s="7"/>
    </row>
    <row r="225" spans="1:5">
      <c r="A225" s="4"/>
      <c r="B225" s="5"/>
      <c r="C225" s="6"/>
      <c r="D225" s="6"/>
      <c r="E225" s="7"/>
    </row>
    <row r="226" spans="1:5">
      <c r="A226" s="4"/>
      <c r="B226" s="5"/>
      <c r="C226" s="6"/>
      <c r="D226" s="6"/>
      <c r="E226" s="7"/>
    </row>
    <row r="227" spans="1:5">
      <c r="A227" s="4"/>
      <c r="B227" s="5"/>
      <c r="C227" s="6"/>
      <c r="D227" s="6"/>
      <c r="E227" s="7"/>
    </row>
    <row r="228" spans="1:5">
      <c r="A228" s="4"/>
      <c r="B228" s="5"/>
      <c r="C228" s="6"/>
      <c r="D228" s="6"/>
      <c r="E228" s="7"/>
    </row>
    <row r="229" spans="1:5">
      <c r="A229" s="4"/>
      <c r="B229" s="5"/>
      <c r="C229" s="6"/>
      <c r="D229" s="6"/>
      <c r="E229" s="7"/>
    </row>
    <row r="230" spans="1:5">
      <c r="A230" s="4"/>
      <c r="B230" s="5"/>
      <c r="C230" s="6"/>
      <c r="D230" s="6"/>
      <c r="E230" s="7"/>
    </row>
    <row r="231" spans="1:5">
      <c r="A231" s="4"/>
      <c r="B231" s="5"/>
      <c r="C231" s="6"/>
      <c r="D231" s="6"/>
      <c r="E231" s="7"/>
    </row>
    <row r="232" spans="1:5">
      <c r="A232" s="4"/>
      <c r="B232" s="5"/>
      <c r="C232" s="6"/>
      <c r="D232" s="6"/>
      <c r="E232" s="7"/>
    </row>
    <row r="233" spans="1:5">
      <c r="A233" s="4"/>
      <c r="B233" s="5"/>
      <c r="C233" s="6"/>
      <c r="D233" s="6"/>
      <c r="E233" s="7"/>
    </row>
    <row r="234" spans="1:5">
      <c r="A234" s="4"/>
      <c r="B234" s="5"/>
      <c r="C234" s="6"/>
      <c r="D234" s="6"/>
      <c r="E234" s="7"/>
    </row>
    <row r="235" spans="1:5">
      <c r="A235" s="4"/>
      <c r="B235" s="5"/>
      <c r="C235" s="6"/>
      <c r="D235" s="6"/>
      <c r="E235" s="7"/>
    </row>
    <row r="236" spans="1:5">
      <c r="A236" s="4"/>
      <c r="B236" s="5"/>
      <c r="C236" s="6"/>
      <c r="D236" s="6"/>
      <c r="E236" s="7"/>
    </row>
    <row r="237" spans="1:5">
      <c r="A237" s="4"/>
      <c r="B237" s="5"/>
      <c r="C237" s="6"/>
      <c r="D237" s="6"/>
      <c r="E237" s="7"/>
    </row>
    <row r="238" spans="1:5">
      <c r="A238" s="4"/>
      <c r="B238" s="5"/>
      <c r="C238" s="6"/>
      <c r="D238" s="6"/>
      <c r="E238" s="7"/>
    </row>
    <row r="239" spans="1:5">
      <c r="A239" s="4"/>
      <c r="B239" s="5"/>
      <c r="C239" s="6"/>
      <c r="D239" s="6"/>
      <c r="E239" s="7"/>
    </row>
    <row r="240" spans="1:5">
      <c r="A240" s="4"/>
      <c r="B240" s="5"/>
      <c r="C240" s="6"/>
      <c r="D240" s="6"/>
      <c r="E240" s="7"/>
    </row>
    <row r="241" spans="1:5">
      <c r="A241" s="4"/>
      <c r="B241" s="5"/>
      <c r="C241" s="6"/>
      <c r="D241" s="6"/>
      <c r="E241" s="7"/>
    </row>
    <row r="242" spans="1:5">
      <c r="A242" s="4"/>
      <c r="B242" s="5"/>
      <c r="C242" s="6"/>
      <c r="D242" s="6"/>
      <c r="E242" s="7"/>
    </row>
    <row r="243" spans="1:5">
      <c r="A243" s="4"/>
      <c r="B243" s="5"/>
      <c r="C243" s="6"/>
      <c r="D243" s="6"/>
      <c r="E243" s="7"/>
    </row>
    <row r="244" spans="1:5">
      <c r="A244" s="4"/>
      <c r="B244" s="5"/>
      <c r="C244" s="6"/>
      <c r="D244" s="6"/>
      <c r="E244" s="7"/>
    </row>
    <row r="245" spans="1:5">
      <c r="A245" s="4"/>
      <c r="B245" s="5"/>
      <c r="C245" s="6"/>
      <c r="D245" s="6"/>
      <c r="E245" s="7"/>
    </row>
    <row r="246" spans="1:5">
      <c r="A246" s="4"/>
      <c r="B246" s="5"/>
      <c r="C246" s="6"/>
      <c r="D246" s="6"/>
      <c r="E246" s="7"/>
    </row>
    <row r="247" spans="1:5">
      <c r="A247" s="4"/>
      <c r="B247" s="5"/>
      <c r="C247" s="6"/>
      <c r="D247" s="6"/>
      <c r="E247" s="7"/>
    </row>
    <row r="248" spans="1:5">
      <c r="A248" s="4"/>
      <c r="B248" s="5"/>
      <c r="C248" s="6"/>
      <c r="D248" s="6"/>
      <c r="E248" s="7"/>
    </row>
    <row r="249" spans="1:5">
      <c r="A249" s="4"/>
      <c r="B249" s="5"/>
      <c r="C249" s="6"/>
      <c r="D249" s="6"/>
      <c r="E249" s="7"/>
    </row>
    <row r="250" spans="1:5">
      <c r="A250" s="4"/>
      <c r="B250" s="5"/>
      <c r="C250" s="6"/>
      <c r="D250" s="6"/>
      <c r="E250" s="7"/>
    </row>
    <row r="251" spans="1:5">
      <c r="A251" s="4"/>
      <c r="B251" s="5"/>
      <c r="C251" s="6"/>
      <c r="D251" s="6"/>
      <c r="E251" s="7"/>
    </row>
    <row r="252" spans="1:5">
      <c r="A252" s="4"/>
      <c r="B252" s="5"/>
      <c r="C252" s="6"/>
      <c r="D252" s="6"/>
      <c r="E252" s="7"/>
    </row>
    <row r="253" spans="1:5">
      <c r="A253" s="4"/>
      <c r="B253" s="5"/>
      <c r="C253" s="6"/>
      <c r="D253" s="6"/>
      <c r="E253" s="7"/>
    </row>
    <row r="254" spans="1:5">
      <c r="A254" s="4"/>
      <c r="B254" s="5"/>
      <c r="C254" s="6"/>
      <c r="D254" s="6"/>
      <c r="E254" s="7"/>
    </row>
    <row r="255" spans="1:5">
      <c r="A255" s="4"/>
      <c r="B255" s="5"/>
      <c r="C255" s="6"/>
      <c r="D255" s="6"/>
      <c r="E255" s="7"/>
    </row>
    <row r="256" spans="1:5">
      <c r="A256" s="4"/>
      <c r="B256" s="5"/>
      <c r="C256" s="6"/>
      <c r="D256" s="6"/>
      <c r="E256" s="7"/>
    </row>
    <row r="257" spans="1:5">
      <c r="A257" s="4"/>
      <c r="B257" s="5"/>
      <c r="C257" s="6"/>
      <c r="D257" s="6"/>
      <c r="E257" s="7"/>
    </row>
    <row r="258" spans="1:5">
      <c r="A258" s="4"/>
      <c r="B258" s="5"/>
      <c r="C258" s="6"/>
      <c r="D258" s="6"/>
      <c r="E258" s="7"/>
    </row>
    <row r="259" spans="1:5">
      <c r="A259" s="4"/>
      <c r="B259" s="5"/>
      <c r="C259" s="6"/>
      <c r="D259" s="6"/>
      <c r="E259" s="7"/>
    </row>
    <row r="260" spans="1:5">
      <c r="A260" s="4"/>
      <c r="B260" s="5"/>
      <c r="C260" s="6"/>
      <c r="D260" s="6"/>
      <c r="E260" s="7"/>
    </row>
    <row r="261" spans="1:5">
      <c r="A261" s="4"/>
      <c r="B261" s="5"/>
      <c r="C261" s="6"/>
      <c r="D261" s="6"/>
      <c r="E261" s="7"/>
    </row>
    <row r="262" spans="1:5">
      <c r="A262" s="4"/>
      <c r="B262" s="5"/>
      <c r="C262" s="6"/>
      <c r="D262" s="6"/>
      <c r="E262" s="7"/>
    </row>
    <row r="263" spans="1:5">
      <c r="A263" s="4"/>
      <c r="B263" s="5"/>
      <c r="C263" s="6"/>
      <c r="D263" s="6"/>
      <c r="E263" s="7"/>
    </row>
    <row r="264" spans="1:5">
      <c r="A264" s="4"/>
      <c r="B264" s="5"/>
      <c r="C264" s="6"/>
      <c r="D264" s="6"/>
      <c r="E264" s="7"/>
    </row>
    <row r="265" spans="1:5">
      <c r="A265" s="4"/>
      <c r="B265" s="5"/>
      <c r="C265" s="6"/>
      <c r="D265" s="6"/>
      <c r="E265" s="7"/>
    </row>
    <row r="266" spans="1:5">
      <c r="A266" s="4"/>
      <c r="B266" s="5"/>
      <c r="C266" s="6"/>
      <c r="D266" s="6"/>
      <c r="E266" s="7"/>
    </row>
    <row r="267" spans="1:5">
      <c r="A267" s="4"/>
      <c r="B267" s="5"/>
      <c r="C267" s="6"/>
      <c r="D267" s="6"/>
      <c r="E267" s="7"/>
    </row>
    <row r="268" spans="1:5">
      <c r="A268" s="4"/>
      <c r="B268" s="5"/>
      <c r="C268" s="6"/>
      <c r="D268" s="6"/>
      <c r="E268" s="7"/>
    </row>
    <row r="269" spans="1:5">
      <c r="A269" s="4"/>
      <c r="B269" s="5"/>
      <c r="C269" s="6"/>
      <c r="D269" s="6"/>
      <c r="E269" s="7"/>
    </row>
    <row r="270" spans="1:5">
      <c r="A270" s="4"/>
      <c r="B270" s="5"/>
      <c r="C270" s="6"/>
      <c r="D270" s="6"/>
      <c r="E270" s="7"/>
    </row>
    <row r="271" spans="1:5">
      <c r="A271" s="4"/>
      <c r="B271" s="5"/>
      <c r="C271" s="6"/>
      <c r="D271" s="6"/>
      <c r="E271" s="7"/>
    </row>
    <row r="272" spans="1:5">
      <c r="A272" s="4"/>
      <c r="B272" s="5"/>
      <c r="C272" s="6"/>
      <c r="D272" s="6"/>
      <c r="E272" s="7"/>
    </row>
    <row r="273" spans="1:5">
      <c r="A273" s="4"/>
      <c r="B273" s="5"/>
      <c r="C273" s="6"/>
      <c r="D273" s="6"/>
      <c r="E273" s="7"/>
    </row>
    <row r="274" spans="1:5">
      <c r="A274" s="4"/>
      <c r="B274" s="5"/>
      <c r="C274" s="6"/>
      <c r="D274" s="6"/>
      <c r="E274" s="7"/>
    </row>
    <row r="275" spans="1:5">
      <c r="A275" s="4"/>
      <c r="B275" s="5"/>
      <c r="C275" s="6"/>
      <c r="D275" s="6"/>
      <c r="E275" s="7"/>
    </row>
    <row r="276" spans="1:5">
      <c r="A276" s="4"/>
      <c r="B276" s="5"/>
      <c r="C276" s="6"/>
      <c r="D276" s="6"/>
      <c r="E276" s="7"/>
    </row>
    <row r="277" spans="1:5">
      <c r="A277" s="4"/>
      <c r="B277" s="5"/>
      <c r="C277" s="6"/>
      <c r="D277" s="6"/>
      <c r="E277" s="7"/>
    </row>
    <row r="278" spans="1:5">
      <c r="A278" s="4"/>
      <c r="B278" s="5"/>
      <c r="C278" s="6"/>
      <c r="D278" s="6"/>
      <c r="E278" s="7"/>
    </row>
  </sheetData>
  <sheetProtection algorithmName="SHA-512" hashValue="HGKUkFSMxJYRYMmQcyuwW+XorqAuQblDNS0jAa6x2NYsMg49H1NRbqxJ5dJLzUqaI6EuI3bJNvHkBkwoTQFMGg==" saltValue="aHd3AycuwMKQtRz+nczaPQ==" spinCount="100000" sheet="1" objects="1" scenarios="1"/>
  <mergeCells count="52">
    <mergeCell ref="D138:D141"/>
    <mergeCell ref="A135:A141"/>
    <mergeCell ref="B135:B141"/>
    <mergeCell ref="C135:C141"/>
    <mergeCell ref="D142:D144"/>
    <mergeCell ref="A129:A134"/>
    <mergeCell ref="B129:B134"/>
    <mergeCell ref="C129:C134"/>
    <mergeCell ref="D131:D132"/>
    <mergeCell ref="D133:D134"/>
    <mergeCell ref="A126:A127"/>
    <mergeCell ref="B126:B127"/>
    <mergeCell ref="C126:C127"/>
    <mergeCell ref="A118:A125"/>
    <mergeCell ref="B118:B125"/>
    <mergeCell ref="C118:C125"/>
    <mergeCell ref="D118:D120"/>
    <mergeCell ref="D123:D125"/>
    <mergeCell ref="D62:D70"/>
    <mergeCell ref="A40:A70"/>
    <mergeCell ref="B40:B70"/>
    <mergeCell ref="C40:C70"/>
    <mergeCell ref="D83:D84"/>
    <mergeCell ref="D85:D86"/>
    <mergeCell ref="D87:D88"/>
    <mergeCell ref="C83:C88"/>
    <mergeCell ref="A83:A88"/>
    <mergeCell ref="B83:B88"/>
    <mergeCell ref="A113:A117"/>
    <mergeCell ref="B113:B117"/>
    <mergeCell ref="C113:C117"/>
    <mergeCell ref="A89:A111"/>
    <mergeCell ref="B89:B111"/>
    <mergeCell ref="C89:C111"/>
    <mergeCell ref="A1:E3"/>
    <mergeCell ref="D40:D52"/>
    <mergeCell ref="D53:D55"/>
    <mergeCell ref="D56:D60"/>
    <mergeCell ref="A71:A82"/>
    <mergeCell ref="B71:B82"/>
    <mergeCell ref="C71:C82"/>
    <mergeCell ref="D71:D77"/>
    <mergeCell ref="D79:D80"/>
    <mergeCell ref="D81:D82"/>
    <mergeCell ref="A150:A151"/>
    <mergeCell ref="B150:B151"/>
    <mergeCell ref="C150:C151"/>
    <mergeCell ref="D145:D147"/>
    <mergeCell ref="D148:D149"/>
    <mergeCell ref="C142:C149"/>
    <mergeCell ref="B142:B149"/>
    <mergeCell ref="A142:A149"/>
  </mergeCells>
  <pageMargins left="0" right="0" top="0" bottom="0"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471F4-D610-42DC-8530-38CB4A0E5F31}">
  <sheetPr codeName="Sheet64">
    <tabColor theme="9" tint="0.59999389629810485"/>
    <pageSetUpPr fitToPage="1"/>
  </sheetPr>
  <dimension ref="A1:AW202"/>
  <sheetViews>
    <sheetView showGridLines="0" showRowColHeaders="0" tabSelected="1" zoomScale="85" zoomScaleNormal="85" workbookViewId="0">
      <selection activeCell="AV21" sqref="AV21"/>
    </sheetView>
  </sheetViews>
  <sheetFormatPr defaultColWidth="0" defaultRowHeight="15.95" customHeight="1" zeroHeight="1"/>
  <cols>
    <col min="1" max="49" width="4.7109375" customWidth="1"/>
    <col min="50" max="16384" width="4.7109375" hidden="1"/>
  </cols>
  <sheetData>
    <row r="1" spans="1:49" ht="15.95" customHeight="1">
      <c r="A1" s="21"/>
      <c r="B1" s="70"/>
      <c r="C1" s="70"/>
      <c r="D1" s="70"/>
      <c r="E1" s="70"/>
      <c r="F1" s="623" t="str">
        <f>N1S1</f>
        <v>Welcome</v>
      </c>
      <c r="G1" s="623"/>
      <c r="H1" s="623"/>
      <c r="I1" s="623"/>
      <c r="J1" s="626" t="str">
        <f>N1S2</f>
        <v>Instructions</v>
      </c>
      <c r="K1" s="627"/>
      <c r="L1" s="627"/>
      <c r="M1" s="627"/>
      <c r="O1" s="629" t="str" cm="1">
        <f t="array" aca="1" ref="O1" ca="1" xml:space="preserve"> IF(OR(ACTIVEOFFER_N="Yes",ACTIVECOMPL_N="Yes"),"",_xlfn.LET(_xlpm.DaysLeft,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4"/>
      <c r="G2" s="624"/>
      <c r="H2" s="624"/>
      <c r="I2" s="624"/>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5"/>
      <c r="G3" s="625"/>
      <c r="H3" s="625"/>
      <c r="I3" s="625"/>
      <c r="J3" s="628"/>
      <c r="K3" s="628"/>
      <c r="L3" s="628"/>
      <c r="M3" s="628"/>
      <c r="N3" s="73"/>
      <c r="O3" s="630"/>
      <c r="P3" s="630"/>
      <c r="Q3" s="630"/>
      <c r="R3" s="630"/>
      <c r="S3" s="630"/>
      <c r="T3" s="630"/>
      <c r="U3" s="630"/>
      <c r="V3" s="630"/>
      <c r="W3" s="630"/>
      <c r="X3" s="630"/>
      <c r="Y3" s="630"/>
      <c r="Z3" s="630"/>
      <c r="AA3" s="630"/>
      <c r="AB3" s="630"/>
      <c r="AC3" s="630"/>
      <c r="AD3" s="630"/>
      <c r="AE3" s="630"/>
      <c r="AF3" s="73"/>
      <c r="AG3" s="73"/>
      <c r="AH3" s="73"/>
      <c r="AI3" s="73"/>
      <c r="AJ3" s="73"/>
      <c r="AK3" s="73"/>
      <c r="AL3" s="632"/>
      <c r="AM3" s="632"/>
      <c r="AN3" s="632"/>
      <c r="AO3" s="632"/>
      <c r="AP3" s="632"/>
      <c r="AQ3" s="632"/>
      <c r="AR3" s="632"/>
      <c r="AS3" s="632"/>
      <c r="AT3" s="622"/>
      <c r="AU3" s="622"/>
      <c r="AV3" s="622"/>
      <c r="AW3" s="622"/>
    </row>
    <row r="4" spans="1:49" ht="15.95" customHeight="1"/>
    <row r="5" spans="1:49" ht="15.95" customHeight="1"/>
    <row r="6" spans="1:49" ht="15.95" customHeight="1"/>
    <row r="7" spans="1:49" ht="15.95" customHeight="1">
      <c r="AP7" s="616" t="s">
        <v>900</v>
      </c>
      <c r="AQ7" s="616"/>
      <c r="AR7" s="616"/>
      <c r="AS7" s="21"/>
      <c r="AT7" s="21"/>
      <c r="AU7" s="21"/>
      <c r="AV7" s="21"/>
      <c r="AW7" s="21"/>
    </row>
    <row r="8" spans="1:49" ht="15.95" customHeight="1">
      <c r="AP8" s="616"/>
      <c r="AQ8" s="616"/>
      <c r="AR8" s="616"/>
      <c r="AS8" s="21"/>
      <c r="AT8" s="21"/>
      <c r="AU8" s="21"/>
      <c r="AV8" s="21"/>
      <c r="AW8" s="21"/>
    </row>
    <row r="9" spans="1:49" ht="15.95" customHeight="1">
      <c r="AP9" s="21"/>
      <c r="AQ9" s="21"/>
      <c r="AR9" s="21"/>
      <c r="AS9" s="21"/>
      <c r="AT9" s="21"/>
      <c r="AU9" s="21"/>
      <c r="AV9" s="21"/>
      <c r="AW9" s="21"/>
    </row>
    <row r="10" spans="1:49" ht="15.95" customHeight="1"/>
    <row r="11" spans="1:49" ht="15.9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row>
    <row r="12" spans="1:49" ht="15.95" customHeight="1"/>
    <row r="13" spans="1:49" ht="15.95" customHeight="1"/>
    <row r="14" spans="1:49" ht="15.95" customHeight="1"/>
    <row r="15" spans="1:49" ht="15.95" customHeight="1"/>
    <row r="16" spans="1:49" ht="15.95" customHeight="1"/>
    <row r="17" customFormat="1" ht="15.95" customHeight="1"/>
    <row r="18" customFormat="1" ht="15.95" customHeight="1"/>
    <row r="19" customFormat="1" ht="15.95" customHeight="1"/>
    <row r="20" customFormat="1" ht="15.95" customHeight="1"/>
    <row r="21" customFormat="1" ht="15.95" customHeight="1"/>
    <row r="22" customFormat="1" ht="15.95" customHeight="1"/>
    <row r="23" customFormat="1" ht="15.95" customHeight="1"/>
    <row r="24" customFormat="1" ht="15.95" customHeight="1"/>
    <row r="25" customFormat="1" ht="15.95" customHeight="1"/>
    <row r="26" customFormat="1" ht="15.95" customHeight="1"/>
    <row r="27" customFormat="1" ht="15.95" customHeight="1"/>
    <row r="28" customFormat="1" ht="15.95" customHeight="1"/>
    <row r="29" customFormat="1" ht="15.95" customHeight="1"/>
    <row r="30" customFormat="1" ht="15.95" customHeight="1"/>
    <row r="31" customFormat="1" ht="15.95" customHeight="1"/>
    <row r="32" customFormat="1" ht="15.95" customHeight="1"/>
    <row r="33" customFormat="1" ht="15.95" customHeight="1"/>
    <row r="34" customFormat="1" ht="15.95" customHeight="1"/>
    <row r="35" customFormat="1" ht="15.95" customHeight="1"/>
    <row r="36" customFormat="1" ht="15.95" customHeight="1"/>
    <row r="37" customFormat="1" ht="15.95" customHeight="1"/>
    <row r="38" customFormat="1" ht="15.95" customHeight="1"/>
    <row r="39" customFormat="1" ht="15.95" customHeight="1"/>
    <row r="40" customFormat="1" ht="15.95" customHeight="1"/>
    <row r="41" customFormat="1" ht="15.95" customHeight="1"/>
    <row r="42" customFormat="1" ht="15.95" hidden="1" customHeight="1"/>
    <row r="43" customFormat="1" ht="15.95" hidden="1" customHeight="1"/>
    <row r="44" customFormat="1" ht="15.95" hidden="1" customHeight="1"/>
    <row r="45" customFormat="1" ht="15.95" hidden="1" customHeight="1"/>
    <row r="46" customFormat="1" ht="15.95" hidden="1" customHeight="1"/>
    <row r="47" customFormat="1" ht="15.95" hidden="1" customHeight="1"/>
    <row r="48" customFormat="1" ht="15.95" hidden="1" customHeight="1"/>
    <row r="62" spans="3:43" ht="15.95" customHeight="1">
      <c r="C62" s="617" t="s">
        <v>7</v>
      </c>
      <c r="D62" s="617"/>
      <c r="E62" s="617"/>
      <c r="F62" s="617"/>
      <c r="G62" s="617"/>
      <c r="H62" s="617"/>
      <c r="I62" s="618">
        <f>EXPIRATION_DATE</f>
        <v>46022</v>
      </c>
      <c r="J62" s="618"/>
      <c r="K62" s="618"/>
      <c r="L62" s="618"/>
      <c r="M62" s="618"/>
      <c r="N62" s="618"/>
      <c r="O62" s="618"/>
      <c r="P62" s="619" t="str">
        <f ca="1">EXPIRATION</f>
        <v/>
      </c>
      <c r="Q62" s="619"/>
      <c r="R62" s="619"/>
      <c r="S62" s="619"/>
      <c r="T62" s="619"/>
      <c r="U62" s="33"/>
      <c r="V62" s="33"/>
      <c r="W62" s="33"/>
      <c r="X62" s="33"/>
      <c r="Y62" s="33"/>
      <c r="Z62" s="33"/>
      <c r="AA62" s="33"/>
      <c r="AC62" s="617"/>
      <c r="AD62" s="617"/>
      <c r="AE62" s="617"/>
      <c r="AF62" s="617"/>
      <c r="AG62" s="617"/>
      <c r="AH62" s="617"/>
      <c r="AI62" s="617"/>
      <c r="AJ62" s="617"/>
      <c r="AK62" s="618"/>
      <c r="AL62" s="618"/>
      <c r="AM62" s="618"/>
      <c r="AN62" s="618"/>
      <c r="AO62" s="618"/>
      <c r="AP62" s="618"/>
      <c r="AQ62" s="618"/>
    </row>
    <row r="63" spans="3:43" ht="15.95" hidden="1" customHeight="1">
      <c r="C63" s="14"/>
      <c r="D63" s="14"/>
      <c r="E63" s="14"/>
      <c r="F63" s="14"/>
      <c r="G63" s="14"/>
      <c r="H63" s="14"/>
      <c r="I63" s="15"/>
      <c r="J63" s="15"/>
      <c r="K63" s="15"/>
      <c r="L63" s="15"/>
      <c r="M63" s="15"/>
      <c r="N63" s="15"/>
      <c r="O63" s="16"/>
      <c r="P63" s="16"/>
      <c r="Q63" s="16"/>
      <c r="R63" s="16"/>
      <c r="S63" s="16"/>
    </row>
    <row r="64" spans="3:43" ht="15.95" hidden="1" customHeight="1">
      <c r="C64" s="14"/>
      <c r="D64" s="14"/>
      <c r="E64" s="14"/>
      <c r="F64" s="14"/>
      <c r="G64" s="14"/>
      <c r="H64" s="14"/>
      <c r="I64" s="15"/>
      <c r="J64" s="15"/>
      <c r="K64" s="15"/>
      <c r="L64" s="15"/>
      <c r="M64" s="15"/>
      <c r="N64" s="15"/>
      <c r="O64" s="16"/>
      <c r="P64" s="16"/>
      <c r="Q64" s="16"/>
      <c r="R64" s="16"/>
      <c r="S64" s="16"/>
    </row>
    <row r="65" spans="3:19" ht="15.95" hidden="1" customHeight="1">
      <c r="C65" s="14"/>
      <c r="D65" s="14"/>
      <c r="E65" s="14"/>
      <c r="F65" s="14"/>
      <c r="G65" s="14"/>
      <c r="H65" s="14"/>
      <c r="I65" s="15"/>
      <c r="J65" s="15"/>
      <c r="K65" s="15"/>
      <c r="L65" s="15"/>
      <c r="M65" s="15"/>
      <c r="N65" s="15"/>
      <c r="O65" s="16"/>
      <c r="P65" s="16"/>
      <c r="Q65" s="16"/>
      <c r="R65" s="16"/>
      <c r="S65" s="16"/>
    </row>
    <row r="66" spans="3:19" ht="15.95" hidden="1" customHeight="1">
      <c r="C66" s="14"/>
      <c r="D66" s="14"/>
      <c r="E66" s="14"/>
      <c r="F66" s="14"/>
      <c r="G66" s="14"/>
      <c r="H66" s="14"/>
      <c r="I66" s="15"/>
      <c r="J66" s="15"/>
      <c r="K66" s="15"/>
      <c r="L66" s="15"/>
      <c r="M66" s="15"/>
      <c r="N66" s="15"/>
      <c r="O66" s="16"/>
      <c r="P66" s="16"/>
      <c r="Q66" s="16"/>
      <c r="R66" s="16"/>
      <c r="S66" s="16"/>
    </row>
    <row r="67" spans="3:19" ht="15.95" hidden="1" customHeight="1">
      <c r="C67" s="14"/>
      <c r="D67" s="14"/>
      <c r="E67" s="14"/>
      <c r="F67" s="14"/>
      <c r="G67" s="14"/>
      <c r="H67" s="14"/>
      <c r="I67" s="15"/>
      <c r="J67" s="15"/>
      <c r="K67" s="15"/>
      <c r="L67" s="15"/>
      <c r="M67" s="15"/>
      <c r="N67" s="15"/>
      <c r="O67" s="16"/>
      <c r="P67" s="16"/>
      <c r="Q67" s="16"/>
      <c r="R67" s="16"/>
      <c r="S67" s="16"/>
    </row>
    <row r="68" spans="3:19" ht="15.95" hidden="1" customHeight="1">
      <c r="C68" s="14"/>
      <c r="D68" s="14"/>
      <c r="E68" s="14"/>
      <c r="F68" s="14"/>
      <c r="G68" s="14"/>
      <c r="H68" s="14"/>
      <c r="I68" s="15"/>
      <c r="J68" s="15"/>
      <c r="K68" s="15"/>
      <c r="L68" s="15"/>
      <c r="M68" s="15"/>
      <c r="N68" s="15"/>
      <c r="O68" s="16"/>
      <c r="P68" s="16"/>
      <c r="Q68" s="16"/>
      <c r="R68" s="16"/>
      <c r="S68" s="16"/>
    </row>
    <row r="69" spans="3:19" ht="15.95" hidden="1" customHeight="1">
      <c r="C69" s="14"/>
      <c r="D69" s="14"/>
      <c r="E69" s="14"/>
      <c r="F69" s="14"/>
      <c r="G69" s="14"/>
      <c r="H69" s="14"/>
      <c r="I69" s="15"/>
      <c r="J69" s="15"/>
      <c r="K69" s="15"/>
      <c r="L69" s="15"/>
      <c r="M69" s="15"/>
      <c r="N69" s="15"/>
      <c r="O69" s="16"/>
      <c r="P69" s="16"/>
      <c r="Q69" s="16"/>
      <c r="R69" s="16"/>
      <c r="S69" s="16"/>
    </row>
    <row r="70" spans="3:19" ht="15.95" hidden="1" customHeight="1">
      <c r="C70" s="14"/>
      <c r="D70" s="14"/>
      <c r="E70" s="14"/>
      <c r="F70" s="14"/>
      <c r="G70" s="14"/>
      <c r="H70" s="14"/>
      <c r="I70" s="15"/>
      <c r="J70" s="15"/>
      <c r="K70" s="15"/>
      <c r="L70" s="15"/>
      <c r="M70" s="15"/>
      <c r="N70" s="15"/>
      <c r="O70" s="16"/>
      <c r="P70" s="16"/>
      <c r="Q70" s="16"/>
      <c r="R70" s="16"/>
      <c r="S70" s="16"/>
    </row>
    <row r="71" spans="3:19" ht="15.95" hidden="1" customHeight="1">
      <c r="C71" s="14"/>
      <c r="D71" s="14"/>
      <c r="E71" s="14"/>
      <c r="F71" s="14"/>
      <c r="G71" s="14"/>
      <c r="H71" s="14"/>
      <c r="I71" s="15">
        <v>1</v>
      </c>
      <c r="J71" s="15"/>
      <c r="K71" s="15"/>
      <c r="L71" s="15"/>
      <c r="M71" s="15"/>
      <c r="N71" s="15"/>
      <c r="O71" s="16"/>
      <c r="P71" s="16"/>
      <c r="Q71" s="16"/>
      <c r="R71" s="16"/>
      <c r="S71" s="16"/>
    </row>
    <row r="72" spans="3:19" ht="15.95" hidden="1" customHeight="1">
      <c r="C72" s="14"/>
      <c r="D72" s="14"/>
      <c r="E72" s="14"/>
      <c r="F72" s="14"/>
      <c r="G72" s="14"/>
      <c r="H72" s="14"/>
      <c r="I72" s="15"/>
      <c r="J72" s="15"/>
      <c r="K72" s="15"/>
      <c r="L72" s="15"/>
      <c r="M72" s="15"/>
      <c r="N72" s="15"/>
      <c r="O72" s="16"/>
      <c r="P72" s="16"/>
      <c r="Q72" s="16"/>
      <c r="R72" s="16"/>
      <c r="S72" s="16"/>
    </row>
    <row r="73" spans="3:19" ht="15.95" hidden="1" customHeight="1">
      <c r="C73" s="14"/>
      <c r="D73" s="14"/>
      <c r="E73" s="14"/>
      <c r="F73" s="14"/>
      <c r="G73" s="14"/>
      <c r="H73" s="14"/>
      <c r="I73" s="15"/>
      <c r="J73" s="15"/>
      <c r="K73" s="15"/>
      <c r="L73" s="15"/>
      <c r="M73" s="15"/>
      <c r="N73" s="15"/>
      <c r="O73" s="16"/>
      <c r="P73" s="16"/>
      <c r="Q73" s="16"/>
      <c r="R73" s="16"/>
      <c r="S73" s="16"/>
    </row>
    <row r="74" spans="3:19" ht="15.95" hidden="1" customHeight="1">
      <c r="C74" s="14"/>
      <c r="D74" s="14"/>
      <c r="E74" s="14"/>
      <c r="F74" s="14"/>
      <c r="G74" s="14"/>
      <c r="H74" s="14"/>
      <c r="I74" s="15"/>
      <c r="J74" s="15"/>
      <c r="K74" s="15"/>
      <c r="L74" s="15"/>
      <c r="M74" s="15"/>
      <c r="N74" s="15"/>
      <c r="O74" s="16"/>
      <c r="P74" s="16"/>
      <c r="Q74" s="16"/>
      <c r="R74" s="16"/>
      <c r="S74" s="16"/>
    </row>
    <row r="75" spans="3:19" ht="15.95" hidden="1" customHeight="1">
      <c r="C75" s="14"/>
      <c r="D75" s="14"/>
      <c r="E75" s="14"/>
      <c r="F75" s="14"/>
      <c r="G75" s="14"/>
      <c r="H75" s="14"/>
      <c r="I75" s="15"/>
      <c r="J75" s="15"/>
      <c r="K75" s="15"/>
      <c r="L75" s="15"/>
      <c r="M75" s="15"/>
      <c r="N75" s="15"/>
      <c r="O75" s="16"/>
      <c r="P75" s="16"/>
      <c r="Q75" s="16"/>
      <c r="R75" s="16"/>
      <c r="S75" s="16"/>
    </row>
    <row r="76" spans="3:19" ht="15.95" hidden="1" customHeight="1">
      <c r="C76" s="14"/>
      <c r="D76" s="14"/>
      <c r="E76" s="14"/>
      <c r="F76" s="14"/>
      <c r="G76" s="14"/>
      <c r="H76" s="14"/>
      <c r="I76" s="15"/>
      <c r="J76" s="15"/>
      <c r="K76" s="15"/>
      <c r="L76" s="15"/>
      <c r="M76" s="15"/>
      <c r="N76" s="15"/>
      <c r="O76" s="16"/>
      <c r="P76" s="16"/>
      <c r="Q76" s="16"/>
      <c r="R76" s="16"/>
      <c r="S76" s="16"/>
    </row>
    <row r="77" spans="3:19" ht="15.95" hidden="1" customHeight="1">
      <c r="C77" s="14"/>
      <c r="D77" s="14"/>
      <c r="E77" s="14"/>
      <c r="F77" s="14"/>
      <c r="G77" s="14"/>
      <c r="H77" s="14"/>
      <c r="I77" s="15"/>
      <c r="J77" s="15"/>
      <c r="K77" s="15"/>
      <c r="L77" s="15"/>
      <c r="M77" s="15"/>
      <c r="N77" s="15"/>
      <c r="O77" s="16"/>
      <c r="P77" s="16"/>
      <c r="Q77" s="16"/>
      <c r="R77" s="16"/>
      <c r="S77" s="16"/>
    </row>
    <row r="78" spans="3:19" ht="15.95" hidden="1" customHeight="1">
      <c r="C78" s="14"/>
      <c r="D78" s="14"/>
      <c r="E78" s="14"/>
      <c r="F78" s="14"/>
      <c r="G78" s="14"/>
      <c r="H78" s="14"/>
      <c r="I78" s="15"/>
      <c r="J78" s="15"/>
      <c r="K78" s="15"/>
      <c r="L78" s="15"/>
      <c r="M78" s="15"/>
      <c r="N78" s="15"/>
      <c r="O78" s="16"/>
      <c r="P78" s="16"/>
      <c r="Q78" s="16"/>
      <c r="R78" s="16"/>
      <c r="S78" s="16"/>
    </row>
    <row r="79" spans="3:19" ht="15.95" hidden="1" customHeight="1">
      <c r="C79" s="14"/>
      <c r="D79" s="14"/>
      <c r="E79" s="14"/>
      <c r="F79" s="14"/>
      <c r="G79" s="14"/>
      <c r="H79" s="14"/>
      <c r="I79" s="15"/>
      <c r="J79" s="15"/>
      <c r="K79" s="15"/>
      <c r="L79" s="15"/>
      <c r="M79" s="15"/>
      <c r="N79" s="15"/>
      <c r="O79" s="16"/>
      <c r="P79" s="16"/>
      <c r="Q79" s="16"/>
      <c r="R79" s="16"/>
      <c r="S79" s="16"/>
    </row>
    <row r="80" spans="3:19" ht="15.95" hidden="1" customHeight="1">
      <c r="C80" s="14"/>
      <c r="D80" s="14"/>
      <c r="E80" s="14"/>
      <c r="F80" s="14"/>
      <c r="G80" s="14"/>
      <c r="H80" s="14"/>
      <c r="I80" s="15"/>
      <c r="J80" s="15"/>
      <c r="K80" s="15"/>
      <c r="L80" s="15"/>
      <c r="M80" s="15"/>
      <c r="N80" s="15"/>
      <c r="O80" s="16"/>
      <c r="P80" s="16"/>
      <c r="Q80" s="16"/>
      <c r="R80" s="16"/>
      <c r="S80" s="16"/>
    </row>
    <row r="81" spans="3:19" ht="15.95" hidden="1" customHeight="1">
      <c r="C81" s="14"/>
      <c r="D81" s="14"/>
      <c r="E81" s="14"/>
      <c r="F81" s="14"/>
      <c r="G81" s="14"/>
      <c r="H81" s="14"/>
      <c r="I81" s="15"/>
      <c r="J81" s="15"/>
      <c r="K81" s="15"/>
      <c r="L81" s="15"/>
      <c r="M81" s="15"/>
      <c r="N81" s="15"/>
      <c r="O81" s="16"/>
      <c r="P81" s="16"/>
      <c r="Q81" s="16"/>
      <c r="R81" s="16"/>
      <c r="S81" s="16"/>
    </row>
    <row r="82" spans="3:19" ht="15.95" hidden="1" customHeight="1">
      <c r="C82" s="14"/>
      <c r="D82" s="14"/>
      <c r="E82" s="14"/>
      <c r="F82" s="14"/>
      <c r="G82" s="14"/>
      <c r="H82" s="14"/>
      <c r="I82" s="15"/>
      <c r="J82" s="15"/>
      <c r="K82" s="15"/>
      <c r="L82" s="15"/>
      <c r="M82" s="15"/>
      <c r="N82" s="15"/>
      <c r="O82" s="16"/>
      <c r="P82" s="16"/>
      <c r="Q82" s="16"/>
      <c r="R82" s="16"/>
      <c r="S82" s="16"/>
    </row>
    <row r="83" spans="3:19" ht="15.95" hidden="1" customHeight="1">
      <c r="C83" s="14"/>
      <c r="D83" s="14"/>
      <c r="E83" s="14"/>
      <c r="F83" s="14"/>
      <c r="G83" s="14"/>
      <c r="H83" s="14"/>
      <c r="I83" s="15"/>
      <c r="J83" s="15"/>
      <c r="K83" s="15"/>
      <c r="L83" s="15"/>
      <c r="M83" s="15"/>
      <c r="N83" s="15"/>
      <c r="O83" s="16"/>
      <c r="P83" s="16"/>
      <c r="Q83" s="16"/>
      <c r="R83" s="16"/>
      <c r="S83" s="16"/>
    </row>
    <row r="84" spans="3:19" ht="15.95" hidden="1" customHeight="1">
      <c r="C84" s="14"/>
      <c r="D84" s="14"/>
      <c r="E84" s="14"/>
      <c r="F84" s="14"/>
      <c r="G84" s="14"/>
      <c r="H84" s="14"/>
      <c r="I84" s="15"/>
      <c r="J84" s="15"/>
      <c r="K84" s="15"/>
      <c r="L84" s="15"/>
      <c r="M84" s="15"/>
      <c r="N84" s="15"/>
      <c r="O84" s="16"/>
      <c r="P84" s="16"/>
      <c r="Q84" s="16"/>
      <c r="R84" s="16"/>
      <c r="S84" s="16"/>
    </row>
    <row r="85" spans="3:19" ht="15.95" hidden="1" customHeight="1">
      <c r="C85" s="14"/>
      <c r="D85" s="14"/>
      <c r="E85" s="14"/>
      <c r="F85" s="14"/>
      <c r="G85" s="14"/>
      <c r="H85" s="14"/>
      <c r="I85" s="15"/>
      <c r="J85" s="15"/>
      <c r="K85" s="15"/>
      <c r="L85" s="15"/>
      <c r="M85" s="15"/>
      <c r="N85" s="15"/>
      <c r="O85" s="16"/>
      <c r="P85" s="16"/>
      <c r="Q85" s="16"/>
      <c r="R85" s="16"/>
      <c r="S85" s="16"/>
    </row>
    <row r="86" spans="3:19" ht="15.95" hidden="1" customHeight="1">
      <c r="C86" s="14"/>
      <c r="D86" s="14"/>
      <c r="E86" s="14"/>
      <c r="F86" s="14"/>
      <c r="G86" s="14"/>
      <c r="H86" s="14"/>
      <c r="I86" s="15"/>
      <c r="J86" s="15"/>
      <c r="K86" s="15"/>
      <c r="L86" s="15"/>
      <c r="M86" s="15"/>
      <c r="N86" s="15"/>
      <c r="O86" s="16"/>
      <c r="P86" s="16"/>
      <c r="Q86" s="16"/>
      <c r="R86" s="16"/>
      <c r="S86" s="16"/>
    </row>
    <row r="87" spans="3:19" ht="15.95" hidden="1" customHeight="1">
      <c r="C87" s="14"/>
      <c r="D87" s="14"/>
      <c r="E87" s="14"/>
      <c r="F87" s="14"/>
      <c r="G87" s="14"/>
      <c r="H87" s="14"/>
      <c r="I87" s="15"/>
      <c r="J87" s="15"/>
      <c r="K87" s="15"/>
      <c r="L87" s="15"/>
      <c r="M87" s="15"/>
      <c r="N87" s="15"/>
      <c r="O87" s="16"/>
      <c r="P87" s="16"/>
      <c r="Q87" s="16"/>
      <c r="R87" s="16"/>
      <c r="S87" s="16"/>
    </row>
    <row r="88" spans="3:19" ht="15.95" hidden="1" customHeight="1">
      <c r="C88" s="14"/>
      <c r="D88" s="14"/>
      <c r="E88" s="14"/>
      <c r="F88" s="14"/>
      <c r="G88" s="14"/>
      <c r="H88" s="14"/>
      <c r="I88" s="15"/>
      <c r="J88" s="15"/>
      <c r="K88" s="15"/>
      <c r="L88" s="15"/>
      <c r="M88" s="15"/>
      <c r="N88" s="15"/>
      <c r="O88" s="16"/>
      <c r="P88" s="16"/>
      <c r="Q88" s="16"/>
      <c r="R88" s="16"/>
      <c r="S88" s="16"/>
    </row>
    <row r="89" spans="3:19" ht="15.95" hidden="1" customHeight="1">
      <c r="C89" s="14"/>
      <c r="D89" s="14"/>
      <c r="E89" s="14"/>
      <c r="F89" s="14"/>
      <c r="G89" s="14"/>
      <c r="H89" s="14"/>
      <c r="I89" s="15"/>
      <c r="J89" s="15"/>
      <c r="K89" s="15"/>
      <c r="L89" s="15"/>
      <c r="M89" s="15"/>
      <c r="N89" s="15"/>
      <c r="O89" s="16"/>
      <c r="P89" s="16"/>
      <c r="Q89" s="16"/>
      <c r="R89" s="16"/>
      <c r="S89" s="16"/>
    </row>
    <row r="90" spans="3:19" ht="15.95" hidden="1" customHeight="1">
      <c r="C90" s="14"/>
      <c r="D90" s="14"/>
      <c r="E90" s="14"/>
      <c r="F90" s="14"/>
      <c r="G90" s="14"/>
      <c r="H90" s="14"/>
      <c r="I90" s="15"/>
      <c r="J90" s="15"/>
      <c r="K90" s="15"/>
      <c r="L90" s="15"/>
      <c r="M90" s="15"/>
      <c r="N90" s="15"/>
      <c r="O90" s="16"/>
      <c r="P90" s="16"/>
      <c r="Q90" s="16"/>
      <c r="R90" s="16"/>
      <c r="S90" s="16"/>
    </row>
    <row r="91" spans="3:19" ht="15.95" hidden="1" customHeight="1">
      <c r="C91" s="14"/>
      <c r="D91" s="14"/>
      <c r="E91" s="14"/>
      <c r="F91" s="14"/>
      <c r="G91" s="14"/>
      <c r="H91" s="14"/>
      <c r="I91" s="15"/>
      <c r="J91" s="15"/>
      <c r="K91" s="15"/>
      <c r="L91" s="15"/>
      <c r="M91" s="15"/>
      <c r="N91" s="15"/>
      <c r="O91" s="16"/>
      <c r="P91" s="16"/>
      <c r="Q91" s="16"/>
      <c r="R91" s="16"/>
      <c r="S91" s="16"/>
    </row>
    <row r="92" spans="3:19" ht="15.95" hidden="1" customHeight="1">
      <c r="C92" s="14"/>
      <c r="D92" s="14"/>
      <c r="E92" s="14"/>
      <c r="F92" s="14"/>
      <c r="G92" s="14"/>
      <c r="H92" s="14"/>
      <c r="I92" s="15"/>
      <c r="J92" s="15"/>
      <c r="K92" s="15"/>
      <c r="L92" s="15"/>
      <c r="M92" s="15"/>
      <c r="N92" s="15"/>
      <c r="O92" s="16"/>
      <c r="P92" s="16"/>
      <c r="Q92" s="16"/>
      <c r="R92" s="16"/>
      <c r="S92" s="16"/>
    </row>
    <row r="93" spans="3:19" ht="15.95" hidden="1" customHeight="1">
      <c r="C93" s="14"/>
      <c r="D93" s="14"/>
      <c r="E93" s="14"/>
      <c r="F93" s="14"/>
      <c r="G93" s="14"/>
      <c r="H93" s="14"/>
      <c r="I93" s="15"/>
      <c r="J93" s="15"/>
      <c r="K93" s="15"/>
      <c r="L93" s="15"/>
      <c r="M93" s="15"/>
      <c r="N93" s="15"/>
      <c r="O93" s="16"/>
      <c r="P93" s="16"/>
      <c r="Q93" s="16"/>
      <c r="R93" s="16"/>
      <c r="S93" s="16"/>
    </row>
    <row r="94" spans="3:19" ht="15.95" hidden="1" customHeight="1">
      <c r="C94" s="14"/>
      <c r="D94" s="14"/>
      <c r="E94" s="14"/>
      <c r="F94" s="14"/>
      <c r="G94" s="14"/>
      <c r="H94" s="14"/>
      <c r="I94" s="15"/>
      <c r="J94" s="15"/>
      <c r="K94" s="15"/>
      <c r="L94" s="15"/>
      <c r="M94" s="15"/>
      <c r="N94" s="15"/>
      <c r="O94" s="16"/>
      <c r="P94" s="16"/>
      <c r="Q94" s="16"/>
      <c r="R94" s="16"/>
      <c r="S94" s="16"/>
    </row>
    <row r="95" spans="3:19" ht="15.95" hidden="1" customHeight="1">
      <c r="C95" s="14"/>
      <c r="D95" s="14"/>
      <c r="E95" s="14"/>
      <c r="F95" s="14"/>
      <c r="G95" s="14"/>
      <c r="H95" s="14"/>
      <c r="I95" s="15"/>
      <c r="J95" s="15"/>
      <c r="K95" s="15"/>
      <c r="L95" s="15"/>
      <c r="M95" s="15"/>
      <c r="N95" s="15"/>
      <c r="O95" s="16"/>
      <c r="P95" s="16"/>
      <c r="Q95" s="16"/>
      <c r="R95" s="16"/>
      <c r="S95" s="16"/>
    </row>
    <row r="96" spans="3:19" ht="15.95" hidden="1" customHeight="1">
      <c r="C96" s="14"/>
      <c r="D96" s="14"/>
      <c r="E96" s="14"/>
      <c r="F96" s="14"/>
      <c r="G96" s="14"/>
      <c r="H96" s="14"/>
      <c r="I96" s="15"/>
      <c r="J96" s="15"/>
      <c r="K96" s="15"/>
      <c r="L96" s="15"/>
      <c r="M96" s="15"/>
      <c r="N96" s="15"/>
      <c r="O96" s="16"/>
      <c r="P96" s="16"/>
      <c r="Q96" s="16"/>
      <c r="R96" s="16"/>
      <c r="S96" s="16"/>
    </row>
    <row r="97" spans="3:19" ht="15.95" hidden="1" customHeight="1">
      <c r="C97" s="14"/>
      <c r="D97" s="14"/>
      <c r="E97" s="14"/>
      <c r="F97" s="14"/>
      <c r="G97" s="14"/>
      <c r="H97" s="14"/>
      <c r="I97" s="15"/>
      <c r="J97" s="15"/>
      <c r="K97" s="15"/>
      <c r="L97" s="15"/>
      <c r="M97" s="15"/>
      <c r="N97" s="15"/>
      <c r="O97" s="16"/>
      <c r="P97" s="16"/>
      <c r="Q97" s="16"/>
      <c r="R97" s="16"/>
      <c r="S97" s="16"/>
    </row>
    <row r="98" spans="3:19" ht="15.95" hidden="1" customHeight="1">
      <c r="C98" s="14"/>
      <c r="D98" s="14"/>
      <c r="E98" s="14"/>
      <c r="F98" s="14"/>
      <c r="G98" s="14"/>
      <c r="H98" s="14"/>
      <c r="I98" s="15"/>
      <c r="J98" s="15"/>
      <c r="K98" s="15"/>
      <c r="L98" s="15"/>
      <c r="M98" s="15"/>
      <c r="N98" s="15"/>
      <c r="O98" s="16"/>
      <c r="P98" s="16"/>
      <c r="Q98" s="16"/>
      <c r="R98" s="16"/>
      <c r="S98" s="16"/>
    </row>
    <row r="99" spans="3:19" ht="15.95" hidden="1" customHeight="1">
      <c r="C99" s="14"/>
      <c r="D99" s="14"/>
      <c r="E99" s="14"/>
      <c r="F99" s="14"/>
      <c r="G99" s="14"/>
      <c r="H99" s="14"/>
      <c r="I99" s="15"/>
      <c r="J99" s="15"/>
      <c r="K99" s="15"/>
      <c r="L99" s="15"/>
      <c r="M99" s="15"/>
      <c r="N99" s="15"/>
      <c r="O99" s="16"/>
      <c r="P99" s="16"/>
      <c r="Q99" s="16"/>
      <c r="R99" s="16"/>
      <c r="S99" s="16"/>
    </row>
    <row r="100" spans="3:19" ht="15.95" hidden="1" customHeight="1">
      <c r="C100" s="14"/>
      <c r="D100" s="14"/>
      <c r="E100" s="14"/>
      <c r="F100" s="14"/>
      <c r="G100" s="14"/>
      <c r="H100" s="14"/>
      <c r="I100" s="15"/>
      <c r="J100" s="15"/>
      <c r="K100" s="15"/>
      <c r="L100" s="15"/>
      <c r="M100" s="15"/>
      <c r="N100" s="15"/>
      <c r="O100" s="16"/>
      <c r="P100" s="16"/>
      <c r="Q100" s="16"/>
      <c r="R100" s="16"/>
      <c r="S100" s="16"/>
    </row>
    <row r="101" spans="3:19" ht="15.95" hidden="1" customHeight="1">
      <c r="C101" s="14"/>
      <c r="D101" s="14"/>
      <c r="E101" s="14"/>
      <c r="F101" s="14"/>
      <c r="G101" s="14"/>
      <c r="H101" s="14"/>
      <c r="I101" s="15"/>
      <c r="J101" s="15"/>
      <c r="K101" s="15"/>
      <c r="L101" s="15"/>
      <c r="M101" s="15"/>
      <c r="N101" s="15"/>
      <c r="O101" s="16"/>
      <c r="P101" s="16"/>
      <c r="Q101" s="16"/>
      <c r="R101" s="16"/>
      <c r="S101" s="16"/>
    </row>
    <row r="102" spans="3:19" ht="15.95" hidden="1" customHeight="1">
      <c r="C102" s="14"/>
      <c r="D102" s="14"/>
      <c r="E102" s="14"/>
      <c r="F102" s="14"/>
      <c r="G102" s="14"/>
      <c r="H102" s="14"/>
      <c r="I102" s="15"/>
      <c r="J102" s="15"/>
      <c r="K102" s="15"/>
      <c r="L102" s="15"/>
      <c r="M102" s="15"/>
      <c r="N102" s="15"/>
      <c r="O102" s="16"/>
      <c r="P102" s="16"/>
      <c r="Q102" s="16"/>
      <c r="R102" s="16"/>
      <c r="S102" s="16"/>
    </row>
    <row r="103" spans="3:19" ht="15.95" hidden="1" customHeight="1">
      <c r="C103" s="14"/>
      <c r="D103" s="14"/>
      <c r="E103" s="14"/>
      <c r="F103" s="14"/>
      <c r="G103" s="14"/>
      <c r="H103" s="14"/>
      <c r="I103" s="15"/>
      <c r="J103" s="15"/>
      <c r="K103" s="15"/>
      <c r="L103" s="15"/>
      <c r="M103" s="15"/>
      <c r="N103" s="15"/>
      <c r="O103" s="16"/>
      <c r="P103" s="16"/>
      <c r="Q103" s="16"/>
      <c r="R103" s="16"/>
      <c r="S103" s="16"/>
    </row>
    <row r="104" spans="3:19" ht="15.95" hidden="1" customHeight="1">
      <c r="C104" s="14"/>
      <c r="D104" s="14"/>
      <c r="E104" s="14"/>
      <c r="F104" s="14"/>
      <c r="G104" s="14"/>
      <c r="H104" s="14"/>
      <c r="I104" s="15"/>
      <c r="J104" s="15"/>
      <c r="K104" s="15"/>
      <c r="L104" s="15"/>
      <c r="M104" s="15"/>
      <c r="N104" s="15"/>
      <c r="O104" s="16"/>
      <c r="P104" s="16"/>
      <c r="Q104" s="16"/>
      <c r="R104" s="16"/>
      <c r="S104" s="16"/>
    </row>
    <row r="105" spans="3:19" ht="15.95" hidden="1" customHeight="1">
      <c r="C105" s="14"/>
      <c r="D105" s="14"/>
      <c r="E105" s="14"/>
      <c r="F105" s="14"/>
      <c r="G105" s="14"/>
      <c r="H105" s="14"/>
      <c r="I105" s="15"/>
      <c r="J105" s="15"/>
      <c r="K105" s="15"/>
      <c r="L105" s="15"/>
      <c r="M105" s="15"/>
      <c r="N105" s="15"/>
      <c r="O105" s="16"/>
      <c r="P105" s="16"/>
      <c r="Q105" s="16"/>
      <c r="R105" s="16"/>
      <c r="S105" s="16"/>
    </row>
    <row r="106" spans="3:19" ht="15.95" hidden="1" customHeight="1">
      <c r="C106" s="14"/>
      <c r="D106" s="14"/>
      <c r="E106" s="14"/>
      <c r="F106" s="14"/>
      <c r="G106" s="14"/>
      <c r="H106" s="14"/>
      <c r="I106" s="15"/>
      <c r="J106" s="15"/>
      <c r="K106" s="15"/>
      <c r="L106" s="15"/>
      <c r="M106" s="15"/>
      <c r="N106" s="15"/>
      <c r="O106" s="16"/>
      <c r="P106" s="16"/>
      <c r="Q106" s="16"/>
      <c r="R106" s="16"/>
      <c r="S106" s="16"/>
    </row>
    <row r="107" spans="3:19" ht="15.95" hidden="1" customHeight="1">
      <c r="C107" s="14"/>
      <c r="D107" s="14"/>
      <c r="E107" s="14"/>
      <c r="F107" s="14"/>
      <c r="G107" s="14"/>
      <c r="H107" s="14"/>
      <c r="I107" s="15"/>
      <c r="J107" s="15"/>
      <c r="K107" s="15"/>
      <c r="L107" s="15"/>
      <c r="M107" s="15"/>
      <c r="N107" s="15"/>
      <c r="O107" s="16"/>
      <c r="P107" s="16"/>
      <c r="Q107" s="16"/>
      <c r="R107" s="16"/>
      <c r="S107" s="16"/>
    </row>
    <row r="108" spans="3:19" ht="15.95" hidden="1" customHeight="1">
      <c r="C108" s="14"/>
      <c r="D108" s="14"/>
      <c r="E108" s="14"/>
      <c r="F108" s="14"/>
      <c r="G108" s="14"/>
      <c r="H108" s="14"/>
      <c r="I108" s="15"/>
      <c r="J108" s="15"/>
      <c r="K108" s="15"/>
      <c r="L108" s="15"/>
      <c r="M108" s="15"/>
      <c r="N108" s="15"/>
      <c r="O108" s="16"/>
      <c r="P108" s="16"/>
      <c r="Q108" s="16"/>
      <c r="R108" s="16"/>
      <c r="S108" s="16"/>
    </row>
    <row r="109" spans="3:19" ht="15.95" hidden="1" customHeight="1">
      <c r="C109" s="14"/>
      <c r="D109" s="14"/>
      <c r="E109" s="14"/>
      <c r="F109" s="14"/>
      <c r="G109" s="14"/>
      <c r="H109" s="14"/>
      <c r="I109" s="15"/>
      <c r="J109" s="15"/>
      <c r="K109" s="15"/>
      <c r="L109" s="15"/>
      <c r="M109" s="15"/>
      <c r="N109" s="15"/>
      <c r="O109" s="16"/>
      <c r="P109" s="16"/>
      <c r="Q109" s="16"/>
      <c r="R109" s="16"/>
      <c r="S109" s="16"/>
    </row>
    <row r="110" spans="3:19" ht="15.95" hidden="1" customHeight="1">
      <c r="C110" s="14"/>
      <c r="D110" s="14"/>
      <c r="E110" s="14"/>
      <c r="F110" s="14"/>
      <c r="G110" s="14"/>
      <c r="H110" s="14"/>
      <c r="I110" s="15"/>
      <c r="J110" s="15"/>
      <c r="K110" s="15"/>
      <c r="L110" s="15"/>
      <c r="M110" s="15"/>
      <c r="N110" s="15"/>
      <c r="O110" s="16"/>
      <c r="P110" s="16"/>
      <c r="Q110" s="16"/>
      <c r="R110" s="16"/>
      <c r="S110" s="16"/>
    </row>
    <row r="111" spans="3:19" ht="15.95" hidden="1" customHeight="1">
      <c r="C111" s="14"/>
      <c r="D111" s="14"/>
      <c r="E111" s="14"/>
      <c r="F111" s="14"/>
      <c r="G111" s="14"/>
      <c r="H111" s="14"/>
      <c r="I111" s="15"/>
      <c r="J111" s="15"/>
      <c r="K111" s="15"/>
      <c r="L111" s="15"/>
      <c r="M111" s="15"/>
      <c r="N111" s="15"/>
      <c r="O111" s="16"/>
      <c r="P111" s="16"/>
      <c r="Q111" s="16"/>
      <c r="R111" s="16"/>
      <c r="S111" s="16"/>
    </row>
    <row r="112" spans="3:19" ht="15.95" hidden="1" customHeight="1">
      <c r="C112" s="14"/>
      <c r="D112" s="14"/>
      <c r="E112" s="14"/>
      <c r="F112" s="14"/>
      <c r="G112" s="14"/>
      <c r="H112" s="14"/>
      <c r="I112" s="15"/>
      <c r="J112" s="15"/>
      <c r="K112" s="15"/>
      <c r="L112" s="15"/>
      <c r="M112" s="15"/>
      <c r="N112" s="15"/>
      <c r="O112" s="16"/>
      <c r="P112" s="16"/>
      <c r="Q112" s="16"/>
      <c r="R112" s="16"/>
      <c r="S112" s="16"/>
    </row>
    <row r="113" spans="3:19" ht="15.95" hidden="1" customHeight="1">
      <c r="C113" s="14"/>
      <c r="D113" s="14"/>
      <c r="E113" s="14"/>
      <c r="F113" s="14"/>
      <c r="G113" s="14"/>
      <c r="H113" s="14"/>
      <c r="I113" s="15"/>
      <c r="J113" s="15"/>
      <c r="K113" s="15"/>
      <c r="L113" s="15"/>
      <c r="M113" s="15"/>
      <c r="N113" s="15"/>
      <c r="O113" s="16"/>
      <c r="P113" s="16"/>
      <c r="Q113" s="16"/>
      <c r="R113" s="16"/>
      <c r="S113" s="16"/>
    </row>
    <row r="114" spans="3:19" ht="15.95" hidden="1" customHeight="1">
      <c r="C114" s="14"/>
      <c r="D114" s="14"/>
      <c r="E114" s="14"/>
      <c r="F114" s="14"/>
      <c r="G114" s="14"/>
      <c r="H114" s="14"/>
      <c r="I114" s="15"/>
      <c r="J114" s="15"/>
      <c r="K114" s="15"/>
      <c r="L114" s="15"/>
      <c r="M114" s="15"/>
      <c r="N114" s="15"/>
      <c r="O114" s="16"/>
      <c r="P114" s="16"/>
      <c r="Q114" s="16"/>
      <c r="R114" s="16"/>
      <c r="S114" s="16"/>
    </row>
    <row r="115" spans="3:19" ht="15.95" hidden="1" customHeight="1">
      <c r="C115" s="14"/>
      <c r="D115" s="14"/>
      <c r="E115" s="14"/>
      <c r="F115" s="14"/>
      <c r="G115" s="14"/>
      <c r="H115" s="14"/>
      <c r="I115" s="15"/>
      <c r="J115" s="15"/>
      <c r="K115" s="15"/>
      <c r="L115" s="15"/>
      <c r="M115" s="15"/>
      <c r="N115" s="15"/>
      <c r="O115" s="16"/>
      <c r="P115" s="16"/>
      <c r="Q115" s="16"/>
      <c r="R115" s="16"/>
      <c r="S115" s="16"/>
    </row>
    <row r="116" spans="3:19" ht="15.95" hidden="1" customHeight="1">
      <c r="C116" s="14"/>
      <c r="D116" s="14"/>
      <c r="E116" s="14"/>
      <c r="F116" s="14"/>
      <c r="G116" s="14"/>
      <c r="H116" s="14"/>
      <c r="I116" s="15"/>
      <c r="J116" s="15"/>
      <c r="K116" s="15"/>
      <c r="L116" s="15"/>
      <c r="M116" s="15"/>
      <c r="N116" s="15"/>
      <c r="O116" s="16"/>
      <c r="P116" s="16"/>
      <c r="Q116" s="16"/>
      <c r="R116" s="16"/>
      <c r="S116" s="16"/>
    </row>
    <row r="117" spans="3:19" ht="15.95" hidden="1" customHeight="1">
      <c r="C117" s="14"/>
      <c r="D117" s="14"/>
      <c r="E117" s="14"/>
      <c r="F117" s="14"/>
      <c r="G117" s="14"/>
      <c r="H117" s="14"/>
      <c r="I117" s="15"/>
      <c r="J117" s="15"/>
      <c r="K117" s="15"/>
      <c r="L117" s="15"/>
      <c r="M117" s="15"/>
      <c r="N117" s="15"/>
      <c r="O117" s="16"/>
      <c r="P117" s="16"/>
      <c r="Q117" s="16"/>
      <c r="R117" s="16"/>
      <c r="S117" s="16"/>
    </row>
    <row r="118" spans="3:19" ht="15.95" hidden="1" customHeight="1">
      <c r="C118" s="14"/>
      <c r="D118" s="14"/>
      <c r="E118" s="14"/>
      <c r="F118" s="14"/>
      <c r="G118" s="14"/>
      <c r="H118" s="14"/>
      <c r="I118" s="15"/>
      <c r="J118" s="15"/>
      <c r="K118" s="15"/>
      <c r="L118" s="15"/>
      <c r="M118" s="15"/>
      <c r="N118" s="15"/>
      <c r="O118" s="16"/>
      <c r="P118" s="16"/>
      <c r="Q118" s="16"/>
      <c r="R118" s="16"/>
      <c r="S118" s="16"/>
    </row>
    <row r="119" spans="3:19" ht="15.95" hidden="1" customHeight="1">
      <c r="C119" s="14"/>
      <c r="D119" s="14"/>
      <c r="E119" s="14"/>
      <c r="F119" s="14"/>
      <c r="G119" s="14"/>
      <c r="H119" s="14"/>
      <c r="I119" s="15"/>
      <c r="J119" s="15"/>
      <c r="K119" s="15"/>
      <c r="L119" s="15"/>
      <c r="M119" s="15"/>
      <c r="N119" s="15"/>
      <c r="O119" s="16"/>
      <c r="P119" s="16"/>
      <c r="Q119" s="16"/>
      <c r="R119" s="16"/>
      <c r="S119" s="16"/>
    </row>
    <row r="120" spans="3:19" ht="15.95" hidden="1" customHeight="1">
      <c r="C120" s="14"/>
      <c r="D120" s="14"/>
      <c r="E120" s="14"/>
      <c r="F120" s="14"/>
      <c r="G120" s="14"/>
      <c r="H120" s="14"/>
      <c r="I120" s="15"/>
      <c r="J120" s="15"/>
      <c r="K120" s="15"/>
      <c r="L120" s="15"/>
      <c r="M120" s="15"/>
      <c r="N120" s="15"/>
      <c r="O120" s="16"/>
      <c r="P120" s="16"/>
      <c r="Q120" s="16"/>
      <c r="R120" s="16"/>
      <c r="S120" s="16"/>
    </row>
    <row r="121" spans="3:19" ht="15.95" hidden="1" customHeight="1">
      <c r="C121" s="14"/>
      <c r="D121" s="14"/>
      <c r="E121" s="14"/>
      <c r="F121" s="14"/>
      <c r="G121" s="14"/>
      <c r="H121" s="14"/>
      <c r="I121" s="15"/>
      <c r="J121" s="15"/>
      <c r="K121" s="15"/>
      <c r="L121" s="15"/>
      <c r="M121" s="15"/>
      <c r="N121" s="15"/>
      <c r="O121" s="16"/>
      <c r="P121" s="16"/>
      <c r="Q121" s="16"/>
      <c r="R121" s="16"/>
      <c r="S121" s="16"/>
    </row>
    <row r="122" spans="3:19" ht="15.95" hidden="1" customHeight="1">
      <c r="C122" s="14"/>
      <c r="D122" s="14"/>
      <c r="E122" s="14"/>
      <c r="F122" s="14"/>
      <c r="G122" s="14"/>
      <c r="H122" s="14"/>
      <c r="I122" s="15"/>
      <c r="J122" s="15"/>
      <c r="K122" s="15"/>
      <c r="L122" s="15"/>
      <c r="M122" s="15"/>
      <c r="N122" s="15"/>
      <c r="O122" s="16"/>
      <c r="P122" s="16"/>
      <c r="Q122" s="16"/>
      <c r="R122" s="16"/>
      <c r="S122" s="16"/>
    </row>
    <row r="123" spans="3:19" ht="15.95" hidden="1" customHeight="1">
      <c r="C123" s="14"/>
      <c r="D123" s="14"/>
      <c r="E123" s="14"/>
      <c r="F123" s="14"/>
      <c r="G123" s="14"/>
      <c r="H123" s="14"/>
      <c r="I123" s="15"/>
      <c r="J123" s="15"/>
      <c r="K123" s="15"/>
      <c r="L123" s="15"/>
      <c r="M123" s="15"/>
      <c r="N123" s="15"/>
      <c r="O123" s="16"/>
      <c r="P123" s="16"/>
      <c r="Q123" s="16"/>
      <c r="R123" s="16"/>
      <c r="S123" s="16"/>
    </row>
    <row r="124" spans="3:19" ht="15.95" hidden="1" customHeight="1">
      <c r="C124" s="14"/>
      <c r="D124" s="14"/>
      <c r="E124" s="14"/>
      <c r="F124" s="14"/>
      <c r="G124" s="14"/>
      <c r="H124" s="14"/>
      <c r="I124" s="15"/>
      <c r="J124" s="15"/>
      <c r="K124" s="15"/>
      <c r="L124" s="15"/>
      <c r="M124" s="15"/>
      <c r="N124" s="15"/>
      <c r="O124" s="16"/>
      <c r="P124" s="16"/>
      <c r="Q124" s="16"/>
      <c r="R124" s="16"/>
      <c r="S124" s="16"/>
    </row>
    <row r="125" spans="3:19" ht="15.95" hidden="1" customHeight="1">
      <c r="C125" s="14"/>
      <c r="D125" s="14"/>
      <c r="E125" s="14"/>
      <c r="F125" s="14"/>
      <c r="G125" s="14"/>
      <c r="H125" s="14"/>
      <c r="I125" s="15"/>
      <c r="J125" s="15"/>
      <c r="K125" s="15"/>
      <c r="L125" s="15"/>
      <c r="M125" s="15"/>
      <c r="N125" s="15"/>
      <c r="O125" s="16"/>
      <c r="P125" s="16"/>
      <c r="Q125" s="16"/>
      <c r="R125" s="16"/>
      <c r="S125" s="16"/>
    </row>
    <row r="126" spans="3:19" ht="15.95" hidden="1" customHeight="1">
      <c r="C126" s="14"/>
      <c r="D126" s="14"/>
      <c r="E126" s="14"/>
      <c r="F126" s="14"/>
      <c r="G126" s="14"/>
      <c r="H126" s="14"/>
      <c r="I126" s="15"/>
      <c r="J126" s="15"/>
      <c r="K126" s="15"/>
      <c r="L126" s="15"/>
      <c r="M126" s="15"/>
      <c r="N126" s="15"/>
      <c r="O126" s="16"/>
      <c r="P126" s="16"/>
      <c r="Q126" s="16"/>
      <c r="R126" s="16"/>
      <c r="S126" s="16"/>
    </row>
    <row r="127" spans="3:19" ht="15.95" hidden="1" customHeight="1">
      <c r="C127" s="14"/>
      <c r="D127" s="14"/>
      <c r="E127" s="14"/>
      <c r="F127" s="14"/>
      <c r="G127" s="14"/>
      <c r="H127" s="14"/>
      <c r="I127" s="15"/>
      <c r="J127" s="15"/>
      <c r="K127" s="15"/>
      <c r="L127" s="15"/>
      <c r="M127" s="15"/>
      <c r="N127" s="15"/>
      <c r="O127" s="16"/>
      <c r="P127" s="16"/>
      <c r="Q127" s="16"/>
      <c r="R127" s="16"/>
      <c r="S127" s="16"/>
    </row>
    <row r="128" spans="3:19" ht="15.95" hidden="1" customHeight="1">
      <c r="C128" s="14"/>
      <c r="D128" s="14"/>
      <c r="E128" s="14"/>
      <c r="F128" s="14"/>
      <c r="G128" s="14"/>
      <c r="H128" s="14"/>
      <c r="I128" s="15"/>
      <c r="J128" s="15"/>
      <c r="K128" s="15"/>
      <c r="L128" s="15"/>
      <c r="M128" s="15"/>
      <c r="N128" s="15"/>
      <c r="O128" s="16"/>
      <c r="P128" s="16"/>
      <c r="Q128" s="16"/>
      <c r="R128" s="16"/>
      <c r="S128" s="16"/>
    </row>
    <row r="129" spans="3:19" ht="15.95" hidden="1" customHeight="1">
      <c r="C129" s="14"/>
      <c r="D129" s="14"/>
      <c r="E129" s="14"/>
      <c r="F129" s="14"/>
      <c r="G129" s="14"/>
      <c r="H129" s="14"/>
      <c r="I129" s="15"/>
      <c r="J129" s="15"/>
      <c r="K129" s="15"/>
      <c r="L129" s="15"/>
      <c r="M129" s="15"/>
      <c r="N129" s="15"/>
      <c r="O129" s="16"/>
      <c r="P129" s="16"/>
      <c r="Q129" s="16"/>
      <c r="R129" s="16"/>
      <c r="S129" s="16"/>
    </row>
    <row r="130" spans="3:19" ht="15.95" hidden="1" customHeight="1">
      <c r="C130" s="14"/>
      <c r="D130" s="14"/>
      <c r="E130" s="14"/>
      <c r="F130" s="14"/>
      <c r="G130" s="14"/>
      <c r="H130" s="14"/>
      <c r="I130" s="15"/>
      <c r="J130" s="15"/>
      <c r="K130" s="15"/>
      <c r="L130" s="15"/>
      <c r="M130" s="15"/>
      <c r="N130" s="15"/>
      <c r="O130" s="16"/>
      <c r="P130" s="16"/>
      <c r="Q130" s="16"/>
      <c r="R130" s="16"/>
      <c r="S130" s="16"/>
    </row>
    <row r="131" spans="3:19" ht="15.95" hidden="1" customHeight="1">
      <c r="C131" s="14"/>
      <c r="D131" s="14"/>
      <c r="E131" s="14"/>
      <c r="F131" s="14"/>
      <c r="G131" s="14"/>
      <c r="H131" s="14"/>
      <c r="I131" s="15"/>
      <c r="J131" s="15"/>
      <c r="K131" s="15"/>
      <c r="L131" s="15"/>
      <c r="M131" s="15"/>
      <c r="N131" s="15"/>
      <c r="O131" s="16"/>
      <c r="P131" s="16"/>
      <c r="Q131" s="16"/>
      <c r="R131" s="16"/>
      <c r="S131" s="16"/>
    </row>
    <row r="132" spans="3:19" ht="15.95" hidden="1" customHeight="1">
      <c r="C132" s="14"/>
      <c r="D132" s="14"/>
      <c r="E132" s="14"/>
      <c r="F132" s="14"/>
      <c r="G132" s="14"/>
      <c r="H132" s="14"/>
      <c r="I132" s="15"/>
      <c r="J132" s="15"/>
      <c r="K132" s="15"/>
      <c r="L132" s="15"/>
      <c r="M132" s="15"/>
      <c r="N132" s="15"/>
      <c r="O132" s="16"/>
      <c r="P132" s="16"/>
      <c r="Q132" s="16"/>
      <c r="R132" s="16"/>
      <c r="S132" s="16"/>
    </row>
    <row r="133" spans="3:19" ht="15.95" hidden="1" customHeight="1">
      <c r="C133" s="14"/>
      <c r="D133" s="14"/>
      <c r="E133" s="14"/>
      <c r="F133" s="14"/>
      <c r="G133" s="14"/>
      <c r="H133" s="14"/>
      <c r="I133" s="15"/>
      <c r="J133" s="15"/>
      <c r="K133" s="15"/>
      <c r="L133" s="15"/>
      <c r="M133" s="15"/>
      <c r="N133" s="15"/>
      <c r="O133" s="16"/>
      <c r="P133" s="16"/>
      <c r="Q133" s="16"/>
      <c r="R133" s="16"/>
      <c r="S133" s="16"/>
    </row>
    <row r="134" spans="3:19" ht="15.95" hidden="1" customHeight="1">
      <c r="C134" s="14"/>
      <c r="D134" s="14"/>
      <c r="E134" s="14"/>
      <c r="F134" s="14"/>
      <c r="G134" s="14"/>
      <c r="H134" s="14"/>
      <c r="I134" s="15"/>
      <c r="J134" s="15"/>
      <c r="K134" s="15"/>
      <c r="L134" s="15"/>
      <c r="M134" s="15"/>
      <c r="N134" s="15"/>
      <c r="O134" s="16"/>
      <c r="P134" s="16"/>
      <c r="Q134" s="16"/>
      <c r="R134" s="16"/>
      <c r="S134" s="16"/>
    </row>
    <row r="135" spans="3:19" ht="15.95" hidden="1" customHeight="1">
      <c r="C135" s="14"/>
      <c r="D135" s="14"/>
      <c r="E135" s="14"/>
      <c r="F135" s="14"/>
      <c r="G135" s="14"/>
      <c r="H135" s="14"/>
      <c r="I135" s="15"/>
      <c r="J135" s="15"/>
      <c r="K135" s="15"/>
      <c r="L135" s="15"/>
      <c r="M135" s="15"/>
      <c r="N135" s="15"/>
      <c r="O135" s="16"/>
      <c r="P135" s="16"/>
      <c r="Q135" s="16"/>
      <c r="R135" s="16"/>
      <c r="S135" s="16"/>
    </row>
    <row r="136" spans="3:19" ht="15.95" hidden="1" customHeight="1">
      <c r="C136" s="14"/>
      <c r="D136" s="14"/>
      <c r="E136" s="14"/>
      <c r="F136" s="14"/>
      <c r="G136" s="14"/>
      <c r="H136" s="14"/>
      <c r="I136" s="15"/>
      <c r="J136" s="15"/>
      <c r="K136" s="15"/>
      <c r="L136" s="15"/>
      <c r="M136" s="15"/>
      <c r="N136" s="15"/>
      <c r="O136" s="16"/>
      <c r="P136" s="16"/>
      <c r="Q136" s="16"/>
      <c r="R136" s="16"/>
      <c r="S136" s="16"/>
    </row>
    <row r="137" spans="3:19" ht="15.95" hidden="1" customHeight="1">
      <c r="C137" s="14"/>
      <c r="D137" s="14"/>
      <c r="E137" s="14"/>
      <c r="F137" s="14"/>
      <c r="G137" s="14"/>
      <c r="H137" s="14"/>
      <c r="I137" s="15"/>
      <c r="J137" s="15"/>
      <c r="K137" s="15"/>
      <c r="L137" s="15"/>
      <c r="M137" s="15"/>
      <c r="N137" s="15"/>
      <c r="O137" s="16"/>
      <c r="P137" s="16"/>
      <c r="Q137" s="16"/>
      <c r="R137" s="16"/>
      <c r="S137" s="16"/>
    </row>
    <row r="138" spans="3:19" ht="15.95" hidden="1" customHeight="1">
      <c r="C138" s="14"/>
      <c r="D138" s="14"/>
      <c r="E138" s="14"/>
      <c r="F138" s="14"/>
      <c r="G138" s="14"/>
      <c r="H138" s="14"/>
      <c r="I138" s="15"/>
      <c r="J138" s="15"/>
      <c r="K138" s="15"/>
      <c r="L138" s="15"/>
      <c r="M138" s="15"/>
      <c r="N138" s="15"/>
      <c r="O138" s="16"/>
      <c r="P138" s="16"/>
      <c r="Q138" s="16"/>
      <c r="R138" s="16"/>
      <c r="S138" s="16"/>
    </row>
    <row r="139" spans="3:19" ht="15.95" hidden="1" customHeight="1">
      <c r="C139" s="14"/>
      <c r="D139" s="14"/>
      <c r="E139" s="14"/>
      <c r="F139" s="14"/>
      <c r="G139" s="14"/>
      <c r="H139" s="14"/>
      <c r="I139" s="15"/>
      <c r="J139" s="15"/>
      <c r="K139" s="15"/>
      <c r="L139" s="15"/>
      <c r="M139" s="15"/>
      <c r="N139" s="15"/>
      <c r="O139" s="16"/>
      <c r="P139" s="16"/>
      <c r="Q139" s="16"/>
      <c r="R139" s="16"/>
      <c r="S139" s="16"/>
    </row>
    <row r="140" spans="3:19" ht="15.95" hidden="1" customHeight="1">
      <c r="C140" s="14"/>
      <c r="D140" s="14"/>
      <c r="E140" s="14"/>
      <c r="F140" s="14"/>
      <c r="G140" s="14"/>
      <c r="H140" s="14"/>
      <c r="I140" s="15"/>
      <c r="J140" s="15"/>
      <c r="K140" s="15"/>
      <c r="L140" s="15"/>
      <c r="M140" s="15"/>
      <c r="N140" s="15"/>
      <c r="O140" s="16"/>
      <c r="P140" s="16"/>
      <c r="Q140" s="16"/>
      <c r="R140" s="16"/>
      <c r="S140" s="16"/>
    </row>
    <row r="141" spans="3:19" ht="15.95" hidden="1" customHeight="1">
      <c r="C141" s="14"/>
      <c r="D141" s="14"/>
      <c r="E141" s="14"/>
      <c r="F141" s="14"/>
      <c r="G141" s="14"/>
      <c r="H141" s="14"/>
      <c r="I141" s="15"/>
      <c r="J141" s="15"/>
      <c r="K141" s="15"/>
      <c r="L141" s="15"/>
      <c r="M141" s="15"/>
      <c r="N141" s="15"/>
      <c r="O141" s="16"/>
      <c r="P141" s="16"/>
      <c r="Q141" s="16"/>
      <c r="R141" s="16"/>
      <c r="S141" s="16"/>
    </row>
    <row r="142" spans="3:19" ht="15.95" hidden="1" customHeight="1">
      <c r="C142" s="14"/>
      <c r="D142" s="14"/>
      <c r="E142" s="14"/>
      <c r="F142" s="14"/>
      <c r="G142" s="14"/>
      <c r="H142" s="14"/>
      <c r="I142" s="15"/>
      <c r="J142" s="15"/>
      <c r="K142" s="15"/>
      <c r="L142" s="15"/>
      <c r="M142" s="15"/>
      <c r="N142" s="15"/>
      <c r="O142" s="16"/>
      <c r="P142" s="16"/>
      <c r="Q142" s="16"/>
      <c r="R142" s="16"/>
      <c r="S142" s="16"/>
    </row>
    <row r="143" spans="3:19" ht="15.95" hidden="1" customHeight="1">
      <c r="C143" s="14"/>
      <c r="D143" s="14"/>
      <c r="E143" s="14"/>
      <c r="F143" s="14"/>
      <c r="G143" s="14"/>
      <c r="H143" s="14"/>
      <c r="I143" s="15"/>
      <c r="J143" s="15"/>
      <c r="K143" s="15"/>
      <c r="L143" s="15"/>
      <c r="M143" s="15"/>
      <c r="N143" s="15"/>
      <c r="O143" s="16"/>
      <c r="P143" s="16"/>
      <c r="Q143" s="16"/>
      <c r="R143" s="16"/>
      <c r="S143" s="16"/>
    </row>
    <row r="144" spans="3:19" ht="15.95" hidden="1" customHeight="1">
      <c r="C144" s="14"/>
      <c r="D144" s="14"/>
      <c r="E144" s="14"/>
      <c r="F144" s="14"/>
      <c r="G144" s="14"/>
      <c r="H144" s="14"/>
      <c r="I144" s="15"/>
      <c r="J144" s="15"/>
      <c r="K144" s="15"/>
      <c r="L144" s="15"/>
      <c r="M144" s="15"/>
      <c r="N144" s="15"/>
      <c r="O144" s="16"/>
      <c r="P144" s="16"/>
      <c r="Q144" s="16"/>
      <c r="R144" s="16"/>
      <c r="S144" s="16"/>
    </row>
    <row r="145" spans="3:19" ht="15.95" hidden="1" customHeight="1">
      <c r="C145" s="14"/>
      <c r="D145" s="14"/>
      <c r="E145" s="14"/>
      <c r="F145" s="14"/>
      <c r="G145" s="14"/>
      <c r="H145" s="14"/>
      <c r="I145" s="15"/>
      <c r="J145" s="15"/>
      <c r="K145" s="15"/>
      <c r="L145" s="15"/>
      <c r="M145" s="15"/>
      <c r="N145" s="15"/>
      <c r="O145" s="16"/>
      <c r="P145" s="16"/>
      <c r="Q145" s="16"/>
      <c r="R145" s="16"/>
      <c r="S145" s="16"/>
    </row>
    <row r="146" spans="3:19" ht="15.95" hidden="1" customHeight="1">
      <c r="C146" s="14"/>
      <c r="D146" s="14"/>
      <c r="E146" s="14"/>
      <c r="F146" s="14"/>
      <c r="G146" s="14"/>
      <c r="H146" s="14"/>
      <c r="I146" s="15"/>
      <c r="J146" s="15"/>
      <c r="K146" s="15"/>
      <c r="L146" s="15"/>
      <c r="M146" s="15"/>
      <c r="N146" s="15"/>
      <c r="O146" s="16"/>
      <c r="P146" s="16"/>
      <c r="Q146" s="16"/>
      <c r="R146" s="16"/>
      <c r="S146" s="16"/>
    </row>
    <row r="147" spans="3:19" ht="15.95" hidden="1" customHeight="1">
      <c r="C147" s="14"/>
      <c r="D147" s="14"/>
      <c r="E147" s="14"/>
      <c r="F147" s="14"/>
      <c r="G147" s="14"/>
      <c r="H147" s="14"/>
      <c r="I147" s="15"/>
      <c r="J147" s="15"/>
      <c r="K147" s="15"/>
      <c r="L147" s="15"/>
      <c r="M147" s="15"/>
      <c r="N147" s="15"/>
      <c r="O147" s="16"/>
      <c r="P147" s="16"/>
      <c r="Q147" s="16"/>
      <c r="R147" s="16"/>
      <c r="S147" s="16"/>
    </row>
    <row r="148" spans="3:19" ht="15.95" hidden="1" customHeight="1">
      <c r="C148" s="14"/>
      <c r="D148" s="14"/>
      <c r="E148" s="14"/>
      <c r="F148" s="14"/>
      <c r="G148" s="14"/>
      <c r="H148" s="14"/>
      <c r="I148" s="15"/>
      <c r="J148" s="15"/>
      <c r="K148" s="15"/>
      <c r="L148" s="15"/>
      <c r="M148" s="15"/>
      <c r="N148" s="15"/>
      <c r="O148" s="16"/>
      <c r="P148" s="16"/>
      <c r="Q148" s="16"/>
      <c r="R148" s="16"/>
      <c r="S148" s="16"/>
    </row>
    <row r="149" spans="3:19" ht="15.95" hidden="1" customHeight="1">
      <c r="C149" s="14"/>
      <c r="D149" s="14"/>
      <c r="E149" s="14"/>
      <c r="F149" s="14"/>
      <c r="G149" s="14"/>
      <c r="H149" s="14"/>
      <c r="I149" s="15"/>
      <c r="J149" s="15"/>
      <c r="K149" s="15"/>
      <c r="L149" s="15"/>
      <c r="M149" s="15"/>
      <c r="N149" s="15"/>
      <c r="O149" s="16"/>
      <c r="P149" s="16"/>
      <c r="Q149" s="16"/>
      <c r="R149" s="16"/>
      <c r="S149" s="16"/>
    </row>
    <row r="150" spans="3:19" ht="15.95" hidden="1" customHeight="1">
      <c r="C150" s="14"/>
      <c r="D150" s="14"/>
      <c r="E150" s="14"/>
      <c r="F150" s="14"/>
      <c r="G150" s="14"/>
      <c r="H150" s="14"/>
      <c r="I150" s="15"/>
      <c r="J150" s="15"/>
      <c r="K150" s="15"/>
      <c r="L150" s="15"/>
      <c r="M150" s="15"/>
      <c r="N150" s="15"/>
      <c r="O150" s="16"/>
      <c r="P150" s="16"/>
      <c r="Q150" s="16"/>
      <c r="R150" s="16"/>
      <c r="S150" s="16"/>
    </row>
    <row r="151" spans="3:19" ht="15.95" hidden="1" customHeight="1">
      <c r="C151" s="14"/>
      <c r="D151" s="14"/>
      <c r="E151" s="14"/>
      <c r="F151" s="14"/>
      <c r="G151" s="14"/>
      <c r="H151" s="14"/>
      <c r="I151" s="15"/>
      <c r="J151" s="15"/>
      <c r="K151" s="15"/>
      <c r="L151" s="15"/>
      <c r="M151" s="15"/>
      <c r="N151" s="15"/>
      <c r="O151" s="16"/>
      <c r="P151" s="16"/>
      <c r="Q151" s="16"/>
      <c r="R151" s="16"/>
      <c r="S151" s="16"/>
    </row>
    <row r="152" spans="3:19" ht="15.95" hidden="1" customHeight="1">
      <c r="C152" s="14"/>
      <c r="D152" s="14"/>
      <c r="E152" s="14"/>
      <c r="F152" s="14"/>
      <c r="G152" s="14"/>
      <c r="H152" s="14"/>
      <c r="I152" s="15"/>
      <c r="J152" s="15"/>
      <c r="K152" s="15"/>
      <c r="L152" s="15"/>
      <c r="M152" s="15"/>
      <c r="N152" s="15"/>
      <c r="O152" s="16"/>
      <c r="P152" s="16"/>
      <c r="Q152" s="16"/>
      <c r="R152" s="16"/>
      <c r="S152" s="16"/>
    </row>
    <row r="153" spans="3:19" ht="15.95" hidden="1" customHeight="1">
      <c r="C153" s="14"/>
      <c r="D153" s="14"/>
      <c r="E153" s="14"/>
      <c r="F153" s="14"/>
      <c r="G153" s="14"/>
      <c r="H153" s="14"/>
      <c r="I153" s="15"/>
      <c r="J153" s="15"/>
      <c r="K153" s="15"/>
      <c r="L153" s="15"/>
      <c r="M153" s="15"/>
      <c r="N153" s="15"/>
      <c r="O153" s="16"/>
      <c r="P153" s="16"/>
      <c r="Q153" s="16"/>
      <c r="R153" s="16"/>
      <c r="S153" s="16"/>
    </row>
    <row r="154" spans="3:19" ht="15.95" hidden="1" customHeight="1">
      <c r="C154" s="14"/>
      <c r="D154" s="14"/>
      <c r="E154" s="14"/>
      <c r="F154" s="14"/>
      <c r="G154" s="14"/>
      <c r="H154" s="14"/>
      <c r="I154" s="15"/>
      <c r="J154" s="15"/>
      <c r="K154" s="15"/>
      <c r="L154" s="15"/>
      <c r="M154" s="15"/>
      <c r="N154" s="15"/>
      <c r="O154" s="16"/>
      <c r="P154" s="16"/>
      <c r="Q154" s="16"/>
      <c r="R154" s="16"/>
      <c r="S154" s="16"/>
    </row>
    <row r="155" spans="3:19" ht="15.95" hidden="1" customHeight="1">
      <c r="C155" s="14"/>
      <c r="D155" s="14"/>
      <c r="E155" s="14"/>
      <c r="F155" s="14"/>
      <c r="G155" s="14"/>
      <c r="H155" s="14"/>
      <c r="I155" s="15"/>
      <c r="J155" s="15"/>
      <c r="K155" s="15"/>
      <c r="L155" s="15"/>
      <c r="M155" s="15"/>
      <c r="N155" s="15"/>
      <c r="O155" s="16"/>
      <c r="P155" s="16"/>
      <c r="Q155" s="16"/>
      <c r="R155" s="16"/>
      <c r="S155" s="16"/>
    </row>
    <row r="156" spans="3:19" ht="15.95" hidden="1" customHeight="1">
      <c r="C156" s="14"/>
      <c r="D156" s="14"/>
      <c r="E156" s="14"/>
      <c r="F156" s="14"/>
      <c r="G156" s="14"/>
      <c r="H156" s="14"/>
      <c r="I156" s="15"/>
      <c r="J156" s="15"/>
      <c r="K156" s="15"/>
      <c r="L156" s="15"/>
      <c r="M156" s="15"/>
      <c r="N156" s="15"/>
      <c r="O156" s="16"/>
      <c r="P156" s="16"/>
      <c r="Q156" s="16"/>
      <c r="R156" s="16"/>
      <c r="S156" s="16"/>
    </row>
    <row r="157" spans="3:19" ht="15.95" hidden="1" customHeight="1">
      <c r="C157" s="14"/>
      <c r="D157" s="14"/>
      <c r="E157" s="14"/>
      <c r="F157" s="14"/>
      <c r="G157" s="14"/>
      <c r="H157" s="14"/>
      <c r="I157" s="15"/>
      <c r="J157" s="15"/>
      <c r="K157" s="15"/>
      <c r="L157" s="15"/>
      <c r="M157" s="15"/>
      <c r="N157" s="15"/>
      <c r="O157" s="16"/>
      <c r="P157" s="16"/>
      <c r="Q157" s="16"/>
      <c r="R157" s="16"/>
      <c r="S157" s="16"/>
    </row>
    <row r="158" spans="3:19" ht="15.95" hidden="1" customHeight="1">
      <c r="C158" s="14"/>
      <c r="D158" s="14"/>
      <c r="E158" s="14"/>
      <c r="F158" s="14"/>
      <c r="G158" s="14"/>
      <c r="H158" s="14"/>
      <c r="I158" s="15"/>
      <c r="J158" s="15"/>
      <c r="K158" s="15"/>
      <c r="L158" s="15"/>
      <c r="M158" s="15"/>
      <c r="N158" s="15"/>
      <c r="O158" s="16"/>
      <c r="P158" s="16"/>
      <c r="Q158" s="16"/>
      <c r="R158" s="16"/>
      <c r="S158" s="16"/>
    </row>
    <row r="159" spans="3:19" ht="15.95" hidden="1" customHeight="1">
      <c r="C159" s="14"/>
      <c r="D159" s="14"/>
      <c r="E159" s="14"/>
      <c r="F159" s="14"/>
      <c r="G159" s="14"/>
      <c r="H159" s="14"/>
      <c r="I159" s="15"/>
      <c r="J159" s="15"/>
      <c r="K159" s="15"/>
      <c r="L159" s="15"/>
      <c r="M159" s="15"/>
      <c r="N159" s="15"/>
      <c r="O159" s="16"/>
      <c r="P159" s="16"/>
      <c r="Q159" s="16"/>
      <c r="R159" s="16"/>
      <c r="S159" s="16"/>
    </row>
    <row r="160" spans="3:19" ht="15.95" hidden="1" customHeight="1">
      <c r="C160" s="14"/>
      <c r="D160" s="14"/>
      <c r="E160" s="14"/>
      <c r="F160" s="14"/>
      <c r="G160" s="14"/>
      <c r="H160" s="14"/>
      <c r="I160" s="15"/>
      <c r="J160" s="15"/>
      <c r="K160" s="15"/>
      <c r="L160" s="15"/>
      <c r="M160" s="15"/>
      <c r="N160" s="15"/>
      <c r="O160" s="16"/>
      <c r="P160" s="16"/>
      <c r="Q160" s="16"/>
      <c r="R160" s="16"/>
      <c r="S160" s="16"/>
    </row>
    <row r="161" spans="3:19" ht="15.95" hidden="1" customHeight="1">
      <c r="C161" s="14"/>
      <c r="D161" s="14"/>
      <c r="E161" s="14"/>
      <c r="F161" s="14"/>
      <c r="G161" s="14"/>
      <c r="H161" s="14"/>
      <c r="I161" s="15"/>
      <c r="J161" s="15"/>
      <c r="K161" s="15"/>
      <c r="L161" s="15"/>
      <c r="M161" s="15"/>
      <c r="N161" s="15"/>
      <c r="O161" s="16"/>
      <c r="P161" s="16"/>
      <c r="Q161" s="16"/>
      <c r="R161" s="16"/>
      <c r="S161" s="16"/>
    </row>
    <row r="162" spans="3:19" ht="15.95" hidden="1" customHeight="1">
      <c r="C162" s="14"/>
      <c r="D162" s="14"/>
      <c r="E162" s="14"/>
      <c r="F162" s="14"/>
      <c r="G162" s="14"/>
      <c r="H162" s="14"/>
      <c r="I162" s="15"/>
      <c r="J162" s="15"/>
      <c r="K162" s="15"/>
      <c r="L162" s="15"/>
      <c r="M162" s="15"/>
      <c r="N162" s="15"/>
      <c r="O162" s="16"/>
      <c r="P162" s="16"/>
      <c r="Q162" s="16"/>
      <c r="R162" s="16"/>
      <c r="S162" s="16"/>
    </row>
    <row r="163" spans="3:19" ht="15.95" hidden="1" customHeight="1">
      <c r="C163" s="14"/>
      <c r="D163" s="14"/>
      <c r="E163" s="14"/>
      <c r="F163" s="14"/>
      <c r="G163" s="14"/>
      <c r="H163" s="14"/>
      <c r="I163" s="15"/>
      <c r="J163" s="15"/>
      <c r="K163" s="15"/>
      <c r="L163" s="15"/>
      <c r="M163" s="15"/>
      <c r="N163" s="15"/>
      <c r="O163" s="16"/>
      <c r="P163" s="16"/>
      <c r="Q163" s="16"/>
      <c r="R163" s="16"/>
      <c r="S163" s="16"/>
    </row>
    <row r="164" spans="3:19" ht="15.95" hidden="1" customHeight="1">
      <c r="C164" s="14"/>
      <c r="D164" s="14"/>
      <c r="E164" s="14"/>
      <c r="F164" s="14"/>
      <c r="G164" s="14"/>
      <c r="H164" s="14"/>
      <c r="I164" s="15"/>
      <c r="J164" s="15"/>
      <c r="K164" s="15"/>
      <c r="L164" s="15"/>
      <c r="M164" s="15"/>
      <c r="N164" s="15"/>
      <c r="O164" s="16"/>
      <c r="P164" s="16"/>
      <c r="Q164" s="16"/>
      <c r="R164" s="16"/>
      <c r="S164" s="16"/>
    </row>
    <row r="165" spans="3:19" ht="15.95" hidden="1" customHeight="1">
      <c r="C165" s="14"/>
      <c r="D165" s="14"/>
      <c r="E165" s="14"/>
      <c r="F165" s="14"/>
      <c r="G165" s="14"/>
      <c r="H165" s="14"/>
      <c r="I165" s="15"/>
      <c r="J165" s="15"/>
      <c r="K165" s="15"/>
      <c r="L165" s="15"/>
      <c r="M165" s="15"/>
      <c r="N165" s="15"/>
      <c r="O165" s="16"/>
      <c r="P165" s="16"/>
      <c r="Q165" s="16"/>
      <c r="R165" s="16"/>
      <c r="S165" s="16"/>
    </row>
    <row r="166" spans="3:19" ht="15.95" hidden="1" customHeight="1">
      <c r="C166" s="14"/>
      <c r="D166" s="14"/>
      <c r="E166" s="14"/>
      <c r="F166" s="14"/>
      <c r="G166" s="14"/>
      <c r="H166" s="14"/>
      <c r="I166" s="15"/>
      <c r="J166" s="15"/>
      <c r="K166" s="15"/>
      <c r="L166" s="15"/>
      <c r="M166" s="15"/>
      <c r="N166" s="15"/>
      <c r="O166" s="16"/>
      <c r="P166" s="16"/>
      <c r="Q166" s="16"/>
      <c r="R166" s="16"/>
      <c r="S166" s="16"/>
    </row>
    <row r="167" spans="3:19" ht="15.95" hidden="1" customHeight="1">
      <c r="C167" s="14"/>
      <c r="D167" s="14"/>
      <c r="E167" s="14"/>
      <c r="F167" s="14"/>
      <c r="G167" s="14"/>
      <c r="H167" s="14"/>
      <c r="I167" s="15"/>
      <c r="J167" s="15"/>
      <c r="K167" s="15"/>
      <c r="L167" s="15"/>
      <c r="M167" s="15"/>
      <c r="N167" s="15"/>
      <c r="O167" s="16"/>
      <c r="P167" s="16"/>
      <c r="Q167" s="16"/>
      <c r="R167" s="16"/>
      <c r="S167" s="16"/>
    </row>
    <row r="168" spans="3:19" ht="15.95" hidden="1" customHeight="1">
      <c r="C168" s="14"/>
      <c r="D168" s="14"/>
      <c r="E168" s="14"/>
      <c r="F168" s="14"/>
      <c r="G168" s="14"/>
      <c r="H168" s="14"/>
      <c r="I168" s="15"/>
      <c r="J168" s="15"/>
      <c r="K168" s="15"/>
      <c r="L168" s="15"/>
      <c r="M168" s="15"/>
      <c r="N168" s="15"/>
      <c r="O168" s="16"/>
      <c r="P168" s="16"/>
      <c r="Q168" s="16"/>
      <c r="R168" s="16"/>
      <c r="S168" s="16"/>
    </row>
    <row r="169" spans="3:19" ht="15.95" hidden="1" customHeight="1">
      <c r="C169" s="14"/>
      <c r="D169" s="14"/>
      <c r="E169" s="14"/>
      <c r="F169" s="14"/>
      <c r="G169" s="14"/>
      <c r="H169" s="14"/>
      <c r="I169" s="15"/>
      <c r="J169" s="15"/>
      <c r="K169" s="15"/>
      <c r="L169" s="15"/>
      <c r="M169" s="15"/>
      <c r="N169" s="15"/>
      <c r="O169" s="16"/>
      <c r="P169" s="16"/>
      <c r="Q169" s="16"/>
      <c r="R169" s="16"/>
      <c r="S169" s="16"/>
    </row>
    <row r="170" spans="3:19" ht="15.95" hidden="1" customHeight="1">
      <c r="C170" s="14"/>
      <c r="D170" s="14"/>
      <c r="E170" s="14"/>
      <c r="F170" s="14"/>
      <c r="G170" s="14"/>
      <c r="H170" s="14"/>
      <c r="I170" s="15"/>
      <c r="J170" s="15"/>
      <c r="K170" s="15"/>
      <c r="L170" s="15"/>
      <c r="M170" s="15"/>
      <c r="N170" s="15"/>
      <c r="O170" s="16"/>
      <c r="P170" s="16"/>
      <c r="Q170" s="16"/>
      <c r="R170" s="16"/>
      <c r="S170" s="16"/>
    </row>
    <row r="171" spans="3:19" ht="15.95" hidden="1" customHeight="1">
      <c r="C171" s="14"/>
      <c r="D171" s="14"/>
      <c r="E171" s="14"/>
      <c r="F171" s="14"/>
      <c r="G171" s="14"/>
      <c r="H171" s="14"/>
      <c r="I171" s="15"/>
      <c r="J171" s="15"/>
      <c r="K171" s="15"/>
      <c r="L171" s="15"/>
      <c r="M171" s="15"/>
      <c r="N171" s="15"/>
      <c r="O171" s="16"/>
      <c r="P171" s="16"/>
      <c r="Q171" s="16"/>
      <c r="R171" s="16"/>
      <c r="S171" s="16"/>
    </row>
    <row r="172" spans="3:19" ht="15.95" hidden="1" customHeight="1">
      <c r="C172" s="14"/>
      <c r="D172" s="14"/>
      <c r="E172" s="14"/>
      <c r="F172" s="14"/>
      <c r="G172" s="14"/>
      <c r="H172" s="14"/>
      <c r="I172" s="15"/>
      <c r="J172" s="15"/>
      <c r="K172" s="15"/>
      <c r="L172" s="15"/>
      <c r="M172" s="15"/>
      <c r="N172" s="15"/>
      <c r="O172" s="16"/>
      <c r="P172" s="16"/>
      <c r="Q172" s="16"/>
      <c r="R172" s="16"/>
      <c r="S172" s="16"/>
    </row>
    <row r="173" spans="3:19" ht="15.95" hidden="1" customHeight="1">
      <c r="C173" s="14"/>
      <c r="D173" s="14"/>
      <c r="E173" s="14"/>
      <c r="F173" s="14"/>
      <c r="G173" s="14"/>
      <c r="H173" s="14"/>
      <c r="I173" s="15"/>
      <c r="J173" s="15"/>
      <c r="K173" s="15"/>
      <c r="L173" s="15"/>
      <c r="M173" s="15"/>
      <c r="N173" s="15"/>
      <c r="O173" s="16"/>
      <c r="P173" s="16"/>
      <c r="Q173" s="16"/>
      <c r="R173" s="16"/>
      <c r="S173" s="16"/>
    </row>
    <row r="174" spans="3:19" ht="15.95" hidden="1" customHeight="1">
      <c r="C174" s="14"/>
      <c r="D174" s="14"/>
      <c r="E174" s="14"/>
      <c r="F174" s="14"/>
      <c r="G174" s="14"/>
      <c r="H174" s="14"/>
      <c r="I174" s="15"/>
      <c r="J174" s="15"/>
      <c r="K174" s="15"/>
      <c r="L174" s="15"/>
      <c r="M174" s="15"/>
      <c r="N174" s="15"/>
      <c r="O174" s="16"/>
      <c r="P174" s="16"/>
      <c r="Q174" s="16"/>
      <c r="R174" s="16"/>
      <c r="S174" s="16"/>
    </row>
    <row r="175" spans="3:19" ht="15.95" hidden="1" customHeight="1">
      <c r="C175" s="14"/>
      <c r="D175" s="14"/>
      <c r="E175" s="14"/>
      <c r="F175" s="14"/>
      <c r="G175" s="14"/>
      <c r="H175" s="14"/>
      <c r="I175" s="15"/>
      <c r="J175" s="15"/>
      <c r="K175" s="15"/>
      <c r="L175" s="15"/>
      <c r="M175" s="15"/>
      <c r="N175" s="15"/>
      <c r="O175" s="16"/>
      <c r="P175" s="16"/>
      <c r="Q175" s="16"/>
      <c r="R175" s="16"/>
      <c r="S175" s="16"/>
    </row>
    <row r="176" spans="3:19" ht="15.95" hidden="1" customHeight="1">
      <c r="C176" s="14"/>
      <c r="D176" s="14"/>
      <c r="E176" s="14"/>
      <c r="F176" s="14"/>
      <c r="G176" s="14"/>
      <c r="H176" s="14"/>
      <c r="I176" s="15"/>
      <c r="J176" s="15"/>
      <c r="K176" s="15"/>
      <c r="L176" s="15"/>
      <c r="M176" s="15"/>
      <c r="N176" s="15"/>
      <c r="O176" s="16"/>
      <c r="P176" s="16"/>
      <c r="Q176" s="16"/>
      <c r="R176" s="16"/>
      <c r="S176" s="16"/>
    </row>
    <row r="177" spans="3:19" ht="15.95" hidden="1" customHeight="1">
      <c r="C177" s="14"/>
      <c r="D177" s="14"/>
      <c r="E177" s="14"/>
      <c r="F177" s="14"/>
      <c r="G177" s="14"/>
      <c r="H177" s="14"/>
      <c r="I177" s="15"/>
      <c r="J177" s="15"/>
      <c r="K177" s="15"/>
      <c r="L177" s="15"/>
      <c r="M177" s="15"/>
      <c r="N177" s="15"/>
      <c r="O177" s="16"/>
      <c r="P177" s="16"/>
      <c r="Q177" s="16"/>
      <c r="R177" s="16"/>
      <c r="S177" s="16"/>
    </row>
    <row r="178" spans="3:19" ht="15.95" hidden="1" customHeight="1">
      <c r="C178" s="14"/>
      <c r="D178" s="14"/>
      <c r="E178" s="14"/>
      <c r="F178" s="14"/>
      <c r="G178" s="14"/>
      <c r="H178" s="14"/>
      <c r="I178" s="15"/>
      <c r="J178" s="15"/>
      <c r="K178" s="15"/>
      <c r="L178" s="15"/>
      <c r="M178" s="15"/>
      <c r="N178" s="15"/>
      <c r="O178" s="16"/>
      <c r="P178" s="16"/>
      <c r="Q178" s="16"/>
      <c r="R178" s="16"/>
      <c r="S178" s="16"/>
    </row>
    <row r="179" spans="3:19" ht="15.95" hidden="1" customHeight="1">
      <c r="C179" s="14"/>
      <c r="D179" s="14"/>
      <c r="E179" s="14"/>
      <c r="F179" s="14"/>
      <c r="G179" s="14"/>
      <c r="H179" s="14"/>
      <c r="I179" s="15"/>
      <c r="J179" s="15"/>
      <c r="K179" s="15"/>
      <c r="L179" s="15"/>
      <c r="M179" s="15"/>
      <c r="N179" s="15"/>
      <c r="O179" s="16"/>
      <c r="P179" s="16"/>
      <c r="Q179" s="16"/>
      <c r="R179" s="16"/>
      <c r="S179" s="16"/>
    </row>
    <row r="180" spans="3:19" ht="15.95" hidden="1" customHeight="1">
      <c r="C180" s="14"/>
      <c r="D180" s="14"/>
      <c r="E180" s="14"/>
      <c r="F180" s="14"/>
      <c r="G180" s="14"/>
      <c r="H180" s="14"/>
      <c r="I180" s="15"/>
      <c r="J180" s="15"/>
      <c r="K180" s="15"/>
      <c r="L180" s="15"/>
      <c r="M180" s="15"/>
      <c r="N180" s="15"/>
      <c r="O180" s="16"/>
      <c r="P180" s="16"/>
      <c r="Q180" s="16"/>
      <c r="R180" s="16"/>
      <c r="S180" s="16"/>
    </row>
    <row r="181" spans="3:19" ht="15.95" hidden="1" customHeight="1">
      <c r="C181" s="14"/>
      <c r="D181" s="14"/>
      <c r="E181" s="14"/>
      <c r="F181" s="14"/>
      <c r="G181" s="14"/>
      <c r="H181" s="14"/>
      <c r="I181" s="15"/>
      <c r="J181" s="15"/>
      <c r="K181" s="15"/>
      <c r="L181" s="15"/>
      <c r="M181" s="15"/>
      <c r="N181" s="15"/>
      <c r="O181" s="16"/>
      <c r="P181" s="16"/>
      <c r="Q181" s="16"/>
      <c r="R181" s="16"/>
      <c r="S181" s="16"/>
    </row>
    <row r="182" spans="3:19" ht="15.95" hidden="1" customHeight="1">
      <c r="C182" s="14"/>
      <c r="D182" s="14"/>
      <c r="E182" s="14"/>
      <c r="F182" s="14"/>
      <c r="G182" s="14"/>
      <c r="H182" s="14"/>
      <c r="I182" s="15"/>
      <c r="J182" s="15"/>
      <c r="K182" s="15"/>
      <c r="L182" s="15"/>
      <c r="M182" s="15"/>
      <c r="N182" s="15"/>
      <c r="O182" s="16"/>
      <c r="P182" s="16"/>
      <c r="Q182" s="16"/>
      <c r="R182" s="16"/>
      <c r="S182" s="16"/>
    </row>
    <row r="183" spans="3:19" ht="15.95" hidden="1" customHeight="1">
      <c r="C183" s="14"/>
      <c r="D183" s="14"/>
      <c r="E183" s="14"/>
      <c r="F183" s="14"/>
      <c r="G183" s="14"/>
      <c r="H183" s="14"/>
      <c r="I183" s="15"/>
      <c r="J183" s="15"/>
      <c r="K183" s="15"/>
      <c r="L183" s="15"/>
      <c r="M183" s="15"/>
      <c r="N183" s="15"/>
      <c r="O183" s="16"/>
      <c r="P183" s="16"/>
      <c r="Q183" s="16"/>
      <c r="R183" s="16"/>
      <c r="S183" s="16"/>
    </row>
    <row r="184" spans="3:19" ht="15.95" hidden="1" customHeight="1">
      <c r="C184" s="14"/>
      <c r="D184" s="14"/>
      <c r="E184" s="14"/>
      <c r="F184" s="14"/>
      <c r="G184" s="14"/>
      <c r="H184" s="14"/>
      <c r="I184" s="15"/>
      <c r="J184" s="15"/>
      <c r="K184" s="15"/>
      <c r="L184" s="15"/>
      <c r="M184" s="15"/>
      <c r="N184" s="15"/>
      <c r="O184" s="16"/>
      <c r="P184" s="16"/>
      <c r="Q184" s="16"/>
      <c r="R184" s="16"/>
      <c r="S184" s="16"/>
    </row>
    <row r="185" spans="3:19" ht="15.95" hidden="1" customHeight="1">
      <c r="C185" s="14"/>
      <c r="D185" s="14"/>
      <c r="E185" s="14"/>
      <c r="F185" s="14"/>
      <c r="G185" s="14"/>
      <c r="H185" s="14"/>
      <c r="I185" s="15"/>
      <c r="J185" s="15"/>
      <c r="K185" s="15"/>
      <c r="L185" s="15"/>
      <c r="M185" s="15"/>
      <c r="N185" s="15"/>
      <c r="O185" s="16"/>
      <c r="P185" s="16"/>
      <c r="Q185" s="16"/>
      <c r="R185" s="16"/>
      <c r="S185" s="16"/>
    </row>
    <row r="186" spans="3:19" ht="15.95" hidden="1" customHeight="1">
      <c r="C186" s="14"/>
      <c r="D186" s="14"/>
      <c r="E186" s="14"/>
      <c r="F186" s="14"/>
      <c r="G186" s="14"/>
      <c r="H186" s="14"/>
      <c r="I186" s="15"/>
      <c r="J186" s="15"/>
      <c r="K186" s="15"/>
      <c r="L186" s="15"/>
      <c r="M186" s="15"/>
      <c r="N186" s="15"/>
      <c r="O186" s="16"/>
      <c r="P186" s="16"/>
      <c r="Q186" s="16"/>
      <c r="R186" s="16"/>
      <c r="S186" s="16"/>
    </row>
    <row r="187" spans="3:19" ht="15.95" hidden="1" customHeight="1">
      <c r="C187" s="14"/>
      <c r="D187" s="14"/>
      <c r="E187" s="14"/>
      <c r="F187" s="14"/>
      <c r="G187" s="14"/>
      <c r="H187" s="14"/>
      <c r="I187" s="15"/>
      <c r="J187" s="15"/>
      <c r="K187" s="15"/>
      <c r="L187" s="15"/>
      <c r="M187" s="15"/>
      <c r="N187" s="15"/>
      <c r="O187" s="16"/>
      <c r="P187" s="16"/>
      <c r="Q187" s="16"/>
      <c r="R187" s="16"/>
      <c r="S187" s="16"/>
    </row>
    <row r="188" spans="3:19" ht="15.95" hidden="1" customHeight="1">
      <c r="C188" s="14"/>
      <c r="D188" s="14"/>
      <c r="E188" s="14"/>
      <c r="F188" s="14"/>
      <c r="G188" s="14"/>
      <c r="H188" s="14"/>
      <c r="I188" s="15"/>
      <c r="J188" s="15"/>
      <c r="K188" s="15"/>
      <c r="L188" s="15"/>
      <c r="M188" s="15"/>
      <c r="N188" s="15"/>
      <c r="O188" s="16"/>
      <c r="P188" s="16"/>
      <c r="Q188" s="16"/>
      <c r="R188" s="16"/>
      <c r="S188" s="16"/>
    </row>
    <row r="189" spans="3:19" ht="15.95" hidden="1" customHeight="1">
      <c r="C189" s="14"/>
      <c r="D189" s="14"/>
      <c r="E189" s="14"/>
      <c r="F189" s="14"/>
      <c r="G189" s="14"/>
      <c r="H189" s="14"/>
      <c r="I189" s="15"/>
      <c r="J189" s="15"/>
      <c r="K189" s="15"/>
      <c r="L189" s="15"/>
      <c r="M189" s="15"/>
      <c r="N189" s="15"/>
      <c r="O189" s="16"/>
      <c r="P189" s="16"/>
      <c r="Q189" s="16"/>
      <c r="R189" s="16"/>
      <c r="S189" s="16"/>
    </row>
    <row r="190" spans="3:19" ht="15.95" hidden="1" customHeight="1">
      <c r="C190" s="14"/>
      <c r="D190" s="14"/>
      <c r="E190" s="14"/>
      <c r="F190" s="14"/>
      <c r="G190" s="14"/>
      <c r="H190" s="14"/>
      <c r="I190" s="15"/>
      <c r="J190" s="15"/>
      <c r="K190" s="15"/>
      <c r="L190" s="15"/>
      <c r="M190" s="15"/>
      <c r="N190" s="15"/>
      <c r="O190" s="16"/>
      <c r="P190" s="16"/>
      <c r="Q190" s="16"/>
      <c r="R190" s="16"/>
      <c r="S190" s="16"/>
    </row>
    <row r="191" spans="3:19" ht="15.95" hidden="1" customHeight="1">
      <c r="C191" s="14"/>
      <c r="D191" s="14"/>
      <c r="E191" s="14"/>
      <c r="F191" s="14"/>
      <c r="G191" s="14"/>
      <c r="H191" s="14"/>
      <c r="I191" s="15"/>
      <c r="J191" s="15"/>
      <c r="K191" s="15"/>
      <c r="L191" s="15"/>
      <c r="M191" s="15"/>
      <c r="N191" s="15"/>
      <c r="O191" s="16"/>
      <c r="P191" s="16"/>
      <c r="Q191" s="16"/>
      <c r="R191" s="16"/>
      <c r="S191" s="16"/>
    </row>
    <row r="192" spans="3:19" ht="15.95" hidden="1" customHeight="1">
      <c r="C192" s="14"/>
      <c r="D192" s="14"/>
      <c r="E192" s="14"/>
      <c r="F192" s="14"/>
      <c r="G192" s="14"/>
      <c r="H192" s="14"/>
      <c r="I192" s="15"/>
      <c r="J192" s="15"/>
      <c r="K192" s="15"/>
      <c r="L192" s="15"/>
      <c r="M192" s="15"/>
      <c r="N192" s="15"/>
      <c r="O192" s="16"/>
      <c r="P192" s="16"/>
      <c r="Q192" s="16"/>
      <c r="R192" s="16"/>
      <c r="S192" s="16"/>
    </row>
    <row r="193" spans="1:49" ht="15.95" hidden="1" customHeight="1">
      <c r="C193" s="14"/>
      <c r="D193" s="14"/>
      <c r="E193" s="14"/>
      <c r="F193" s="14"/>
      <c r="G193" s="14"/>
      <c r="H193" s="14"/>
      <c r="I193" s="15"/>
      <c r="J193" s="15"/>
      <c r="K193" s="15"/>
      <c r="L193" s="15"/>
      <c r="M193" s="15"/>
      <c r="N193" s="15"/>
      <c r="O193" s="16"/>
      <c r="P193" s="16"/>
      <c r="Q193" s="16"/>
      <c r="R193" s="16"/>
      <c r="S193" s="16"/>
    </row>
    <row r="194" spans="1:49" ht="15.95" hidden="1" customHeight="1">
      <c r="C194" s="14"/>
      <c r="D194" s="14"/>
      <c r="E194" s="14"/>
      <c r="F194" s="14"/>
      <c r="G194" s="14"/>
      <c r="H194" s="14"/>
      <c r="I194" s="15"/>
      <c r="J194" s="15"/>
      <c r="K194" s="15"/>
      <c r="L194" s="15"/>
      <c r="M194" s="15"/>
      <c r="N194" s="15"/>
      <c r="O194" s="16"/>
      <c r="P194" s="16"/>
      <c r="Q194" s="16"/>
      <c r="R194" s="16"/>
      <c r="S194" s="16"/>
    </row>
    <row r="195" spans="1:49" ht="15.95" hidden="1" customHeight="1">
      <c r="C195" s="14"/>
      <c r="D195" s="14"/>
      <c r="E195" s="14"/>
      <c r="F195" s="14"/>
      <c r="G195" s="14"/>
      <c r="H195" s="14"/>
      <c r="I195" s="15"/>
      <c r="J195" s="15"/>
      <c r="K195" s="15"/>
      <c r="L195" s="15"/>
      <c r="M195" s="15"/>
      <c r="N195" s="15"/>
      <c r="O195" s="16"/>
      <c r="P195" s="16"/>
      <c r="Q195" s="16"/>
      <c r="R195" s="16"/>
      <c r="S195" s="16"/>
    </row>
    <row r="196" spans="1:49" ht="15.95" hidden="1" customHeight="1">
      <c r="C196" s="14"/>
      <c r="D196" s="14"/>
      <c r="E196" s="14"/>
      <c r="F196" s="14"/>
      <c r="G196" s="14"/>
      <c r="H196" s="14"/>
      <c r="I196" s="15"/>
      <c r="J196" s="15"/>
      <c r="K196" s="15"/>
      <c r="L196" s="15"/>
      <c r="M196" s="15"/>
      <c r="N196" s="15"/>
      <c r="O196" s="16"/>
      <c r="P196" s="16"/>
      <c r="Q196" s="16"/>
      <c r="R196" s="16"/>
      <c r="S196" s="16"/>
    </row>
    <row r="197" spans="1:49" ht="15.95" hidden="1" customHeight="1">
      <c r="C197" s="14"/>
      <c r="D197" s="14"/>
      <c r="E197" s="14"/>
      <c r="F197" s="14"/>
      <c r="G197" s="14"/>
      <c r="H197" s="14"/>
      <c r="I197" s="15"/>
      <c r="J197" s="15"/>
      <c r="K197" s="15"/>
      <c r="L197" s="15"/>
      <c r="M197" s="15"/>
      <c r="N197" s="15"/>
      <c r="O197" s="16"/>
      <c r="P197" s="16"/>
      <c r="Q197" s="16"/>
      <c r="R197" s="16"/>
      <c r="S197" s="16"/>
    </row>
    <row r="198" spans="1:49" ht="15.95" hidden="1" customHeight="1">
      <c r="C198" s="14"/>
      <c r="D198" s="14"/>
      <c r="E198" s="14"/>
      <c r="F198" s="14"/>
      <c r="G198" s="14"/>
      <c r="H198" s="14"/>
      <c r="I198" s="15"/>
      <c r="J198" s="15"/>
      <c r="K198" s="15"/>
      <c r="L198" s="15"/>
      <c r="M198" s="15"/>
      <c r="N198" s="15"/>
      <c r="O198" s="16"/>
      <c r="P198" s="16"/>
      <c r="Q198" s="16"/>
      <c r="R198" s="16"/>
      <c r="S198" s="16"/>
    </row>
    <row r="199" spans="1:49" ht="15.95" hidden="1" customHeight="1">
      <c r="C199" s="14"/>
      <c r="D199" s="14"/>
      <c r="E199" s="14"/>
      <c r="F199" s="14"/>
      <c r="G199" s="14"/>
      <c r="H199" s="14"/>
      <c r="I199" s="15"/>
      <c r="J199" s="15"/>
      <c r="K199" s="15"/>
      <c r="L199" s="15"/>
      <c r="M199" s="15"/>
      <c r="N199" s="15"/>
      <c r="O199" s="16"/>
      <c r="P199" s="16"/>
      <c r="Q199" s="16"/>
      <c r="R199" s="16"/>
      <c r="S199" s="16"/>
    </row>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fDJQjeDvR8r/nCA19pN1ZfMz9JzyeoNiwhPsYDnR5niSa2apiHOVNgC8twsqO/p8DeB8eUIHOJSB91yHzOUnvA==" saltValue="3bZTIcUG3Tho98OtoWF+CQ==" spinCount="100000" sheet="1" objects="1" scenarios="1" selectLockedCells="1"/>
  <mergeCells count="13">
    <mergeCell ref="AT1:AW3"/>
    <mergeCell ref="F1:I3"/>
    <mergeCell ref="J1:M3"/>
    <mergeCell ref="O1:AE3"/>
    <mergeCell ref="AL1:AO3"/>
    <mergeCell ref="AP1:AS3"/>
    <mergeCell ref="M200:AG201"/>
    <mergeCell ref="AP7:AR8"/>
    <mergeCell ref="C62:H62"/>
    <mergeCell ref="I62:O62"/>
    <mergeCell ref="P62:T62"/>
    <mergeCell ref="AC62:AJ62"/>
    <mergeCell ref="AK62:AQ62"/>
  </mergeCells>
  <hyperlinks>
    <hyperlink ref="B202" r:id="rId1" display="businessrebates@evergy.com" xr:uid="{D0EB7855-69B9-4748-BDA9-B0A665B98F14}"/>
  </hyperlinks>
  <printOptions horizontalCentered="1"/>
  <pageMargins left="0" right="0" top="0" bottom="0" header="0" footer="0"/>
  <pageSetup scale="49" orientation="portrait"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FF03E-09FB-4C24-91B9-57DDC43EA2A0}">
  <sheetPr codeName="Sheet65">
    <tabColor theme="9" tint="0.59999389629810485"/>
    <pageSetUpPr fitToPage="1"/>
  </sheetPr>
  <dimension ref="A1:AW202"/>
  <sheetViews>
    <sheetView showGridLines="0" showRowColHeaders="0" zoomScale="85" zoomScaleNormal="85" workbookViewId="0"/>
  </sheetViews>
  <sheetFormatPr defaultColWidth="0" defaultRowHeight="15.95" customHeight="1" zeroHeight="1"/>
  <cols>
    <col min="1" max="49" width="4.7109375" customWidth="1"/>
    <col min="50" max="16384" width="4.7109375" hidden="1"/>
  </cols>
  <sheetData>
    <row r="1" spans="1:49" ht="15.95" customHeight="1">
      <c r="A1" s="21"/>
      <c r="B1" s="70"/>
      <c r="C1" s="70"/>
      <c r="D1" s="70"/>
      <c r="E1" s="70"/>
      <c r="F1" s="626" t="str">
        <f>N1S1</f>
        <v>Welcome</v>
      </c>
      <c r="G1" s="627"/>
      <c r="H1" s="627"/>
      <c r="I1" s="627"/>
      <c r="J1" s="623" t="str">
        <f>N1S2</f>
        <v>Instructions</v>
      </c>
      <c r="K1" s="623"/>
      <c r="L1" s="623"/>
      <c r="M1" s="623"/>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4"/>
      <c r="K2" s="624"/>
      <c r="L2" s="624"/>
      <c r="M2" s="624"/>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5"/>
      <c r="K3" s="625"/>
      <c r="L3" s="625"/>
      <c r="M3" s="625"/>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80"/>
      <c r="AU4" s="80"/>
      <c r="AV4" s="80"/>
      <c r="AW4" s="80"/>
    </row>
    <row r="5" spans="1:49" ht="15.95" customHeight="1">
      <c r="A5" s="80"/>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row>
    <row r="6" spans="1:49" ht="15.95" customHeight="1"/>
    <row r="7" spans="1:49" ht="15.95" customHeight="1"/>
    <row r="8" spans="1:49" ht="15.95" customHeight="1">
      <c r="AN8" s="633" t="s">
        <v>2296</v>
      </c>
      <c r="AO8" s="633"/>
      <c r="AP8" s="633"/>
      <c r="AQ8" s="633"/>
      <c r="AR8" s="633"/>
      <c r="AS8" s="633"/>
      <c r="AT8" s="555"/>
      <c r="AU8" s="555"/>
      <c r="AV8" s="555"/>
      <c r="AW8" s="555"/>
    </row>
    <row r="9" spans="1:49" ht="15.95" customHeight="1">
      <c r="AN9" s="633"/>
      <c r="AO9" s="633"/>
      <c r="AP9" s="633"/>
      <c r="AQ9" s="633"/>
      <c r="AR9" s="633"/>
      <c r="AS9" s="633"/>
      <c r="AT9" s="555"/>
      <c r="AU9" s="555"/>
      <c r="AV9" s="555"/>
      <c r="AW9" s="555"/>
    </row>
    <row r="10" spans="1:49" ht="15.95" customHeight="1">
      <c r="AN10" s="633"/>
      <c r="AO10" s="633"/>
      <c r="AP10" s="633"/>
      <c r="AQ10" s="633"/>
      <c r="AR10" s="633"/>
      <c r="AS10" s="633"/>
      <c r="AT10" s="555"/>
      <c r="AU10" s="555"/>
      <c r="AV10" s="555"/>
      <c r="AW10" s="555"/>
    </row>
    <row r="11" spans="1:49" ht="15.95" customHeight="1">
      <c r="AN11" s="633"/>
      <c r="AO11" s="633"/>
      <c r="AP11" s="633"/>
      <c r="AQ11" s="633"/>
      <c r="AR11" s="633"/>
      <c r="AS11" s="633"/>
      <c r="AT11" s="555"/>
      <c r="AU11" s="555"/>
      <c r="AV11" s="555"/>
      <c r="AW11" s="555"/>
    </row>
    <row r="12" spans="1:49" ht="15.95" customHeight="1">
      <c r="AN12" s="537"/>
      <c r="AO12" s="537"/>
      <c r="AP12" s="537"/>
      <c r="AQ12" s="537"/>
      <c r="AR12" s="537"/>
      <c r="AS12" s="537"/>
      <c r="AT12" s="537"/>
      <c r="AU12" s="537"/>
      <c r="AV12" s="537"/>
      <c r="AW12" s="537"/>
    </row>
    <row r="13" spans="1:49" ht="15.95" customHeight="1"/>
    <row r="14" spans="1:49" ht="15.95" customHeight="1"/>
    <row r="15" spans="1:49" ht="15.95" customHeight="1"/>
    <row r="16" spans="1:4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row r="32"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aNeuOpgqa6QRBTUlaJI0gozNNQcq2x4TMCwC7DlQsifqM0XrCvXgFgN/R/VBnlRb7XYyKZVgVBZ1MnErOM7WWA==" saltValue="vsohaYtHX4CNWZ7pS5WPFw==" spinCount="100000" sheet="1" objects="1" scenarios="1" selectLockedCells="1"/>
  <mergeCells count="8">
    <mergeCell ref="AP1:AS3"/>
    <mergeCell ref="AT1:AW3"/>
    <mergeCell ref="M200:AG201"/>
    <mergeCell ref="F1:I3"/>
    <mergeCell ref="J1:M3"/>
    <mergeCell ref="O1:AE3"/>
    <mergeCell ref="AL1:AO3"/>
    <mergeCell ref="AN8:AS11"/>
  </mergeCells>
  <hyperlinks>
    <hyperlink ref="B202" r:id="rId1" display="businessrebates@evergy.com" xr:uid="{7205D137-D756-496F-AF28-0BCA8A4630EC}"/>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75809" r:id="rId5" name="Acknowledge">
              <controlPr defaultSize="0" autoFill="0" autoLine="0" autoPict="0">
                <anchor moveWithCells="1">
                  <from>
                    <xdr:col>39</xdr:col>
                    <xdr:colOff>0</xdr:colOff>
                    <xdr:row>10</xdr:row>
                    <xdr:rowOff>190500</xdr:rowOff>
                  </from>
                  <to>
                    <xdr:col>45</xdr:col>
                    <xdr:colOff>0</xdr:colOff>
                    <xdr:row>12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B7545-2C69-4D50-9E24-3D731E4BA139}">
  <sheetPr codeName="Sheet95">
    <tabColor theme="9" tint="0.59999389629810485"/>
    <pageSetUpPr fitToPage="1"/>
  </sheetPr>
  <dimension ref="A1:AW202"/>
  <sheetViews>
    <sheetView showGridLines="0" showRowColHeaders="0" zoomScale="85" zoomScaleNormal="85" workbookViewId="0"/>
  </sheetViews>
  <sheetFormatPr defaultColWidth="0" defaultRowHeight="15.95" customHeight="1" zeroHeight="1"/>
  <cols>
    <col min="1" max="49" width="4.7109375" customWidth="1"/>
    <col min="50" max="16384" width="4.710937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s="79" customFormat="1" ht="15.95" customHeight="1">
      <c r="A4" s="636" t="str">
        <f>N1S3</f>
        <v>Contact</v>
      </c>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row>
    <row r="5" spans="1:49" s="79" customFormat="1" ht="15.95" customHeight="1">
      <c r="A5" s="637"/>
      <c r="B5" s="637"/>
      <c r="C5" s="637"/>
      <c r="D5" s="637"/>
      <c r="E5" s="637"/>
      <c r="F5" s="637"/>
      <c r="G5" s="637"/>
      <c r="H5" s="637"/>
      <c r="I5" s="637"/>
      <c r="J5" s="637"/>
      <c r="K5" s="637"/>
      <c r="L5" s="637"/>
      <c r="M5" s="637"/>
      <c r="N5" s="637"/>
      <c r="O5" s="637"/>
      <c r="P5" s="637"/>
      <c r="Q5" s="637"/>
      <c r="R5" s="637"/>
      <c r="S5" s="637"/>
      <c r="T5" s="637"/>
      <c r="U5" s="637"/>
      <c r="V5" s="637"/>
      <c r="W5" s="637"/>
      <c r="X5" s="637"/>
      <c r="Y5" s="637"/>
      <c r="Z5" s="637"/>
      <c r="AA5" s="637"/>
      <c r="AB5" s="637"/>
      <c r="AC5" s="637"/>
      <c r="AD5" s="637"/>
      <c r="AE5" s="637"/>
      <c r="AF5" s="637"/>
      <c r="AG5" s="637"/>
      <c r="AH5" s="637"/>
      <c r="AI5" s="637"/>
      <c r="AJ5" s="637"/>
      <c r="AK5" s="637"/>
      <c r="AL5" s="637"/>
      <c r="AM5" s="637"/>
      <c r="AN5" s="637"/>
      <c r="AO5" s="637"/>
      <c r="AP5" s="637"/>
      <c r="AQ5" s="637"/>
      <c r="AR5" s="637"/>
      <c r="AS5" s="637"/>
      <c r="AT5" s="637"/>
      <c r="AU5" s="637"/>
      <c r="AV5" s="637"/>
      <c r="AW5" s="637"/>
    </row>
    <row r="6" spans="1:49" ht="15.95" customHeight="1">
      <c r="A6" s="74"/>
      <c r="B6" s="74"/>
      <c r="C6" s="74"/>
      <c r="D6" s="74"/>
      <c r="E6" s="74"/>
      <c r="F6" s="74"/>
      <c r="G6" s="74"/>
      <c r="H6" s="74"/>
      <c r="I6" s="74"/>
      <c r="J6" s="74"/>
      <c r="K6" s="74"/>
      <c r="L6" s="74"/>
      <c r="M6" s="634" t="s">
        <v>1043</v>
      </c>
      <c r="N6" s="634"/>
      <c r="O6" s="634"/>
      <c r="P6" s="634"/>
      <c r="Q6" s="634"/>
      <c r="R6" s="634"/>
      <c r="S6" s="634"/>
      <c r="T6" s="634"/>
      <c r="U6" s="634"/>
      <c r="V6" s="634"/>
      <c r="W6" s="634"/>
      <c r="X6" s="634"/>
      <c r="Y6" s="634"/>
      <c r="Z6" s="74"/>
      <c r="AA6" s="74"/>
      <c r="AB6" s="74"/>
      <c r="AC6" s="74"/>
      <c r="AD6" s="74"/>
      <c r="AE6" s="74"/>
      <c r="AF6" s="74"/>
      <c r="AG6" s="74"/>
      <c r="AH6" s="74"/>
      <c r="AI6" s="74"/>
      <c r="AJ6" s="74"/>
      <c r="AK6" s="74"/>
      <c r="AL6" s="74"/>
      <c r="AM6" s="74"/>
      <c r="AN6" s="74"/>
      <c r="AO6" s="74"/>
      <c r="AP6" s="74"/>
      <c r="AQ6" s="74"/>
      <c r="AR6" s="74"/>
      <c r="AS6" s="74"/>
      <c r="AT6" s="74"/>
      <c r="AU6" s="74"/>
      <c r="AV6" s="74"/>
      <c r="AW6" s="74"/>
    </row>
    <row r="7" spans="1:49" ht="15.95" customHeight="1">
      <c r="M7" s="634"/>
      <c r="N7" s="634"/>
      <c r="O7" s="634"/>
      <c r="P7" s="634"/>
      <c r="Q7" s="634"/>
      <c r="R7" s="634"/>
      <c r="S7" s="634"/>
      <c r="T7" s="634"/>
      <c r="U7" s="634"/>
      <c r="V7" s="634"/>
      <c r="W7" s="634"/>
      <c r="X7" s="634"/>
      <c r="Y7" s="634"/>
      <c r="Z7" s="52" t="s">
        <v>1044</v>
      </c>
      <c r="AA7" s="38"/>
      <c r="AC7" s="54" t="s">
        <v>1278</v>
      </c>
    </row>
    <row r="8" spans="1:49" ht="15.95" customHeight="1">
      <c r="M8" s="635" t="s">
        <v>726</v>
      </c>
      <c r="N8" s="635"/>
      <c r="O8" s="635"/>
      <c r="P8" s="635"/>
      <c r="Q8" s="635"/>
      <c r="R8" s="635"/>
      <c r="S8" s="635"/>
      <c r="T8" s="635"/>
      <c r="U8" s="635"/>
      <c r="V8" s="635"/>
      <c r="W8" s="635"/>
      <c r="X8" s="635"/>
      <c r="Y8" s="635"/>
      <c r="Z8" s="52" t="s">
        <v>719</v>
      </c>
      <c r="AA8" s="38"/>
      <c r="AC8" s="54" t="str">
        <f>Hotline</f>
        <v>(844)687-0229</v>
      </c>
    </row>
    <row r="9" spans="1:49" ht="15.95" customHeight="1">
      <c r="M9" s="635"/>
      <c r="N9" s="635"/>
      <c r="O9" s="635"/>
      <c r="P9" s="635"/>
      <c r="Q9" s="635"/>
      <c r="R9" s="635"/>
      <c r="S9" s="635"/>
      <c r="T9" s="635"/>
      <c r="U9" s="635"/>
      <c r="V9" s="635"/>
      <c r="W9" s="635"/>
      <c r="X9" s="635"/>
      <c r="Y9" s="635"/>
      <c r="Z9" s="52" t="s">
        <v>724</v>
      </c>
      <c r="AA9" s="38"/>
      <c r="AC9" s="177" t="s">
        <v>1254</v>
      </c>
    </row>
    <row r="10" spans="1:49" ht="15.95" customHeight="1">
      <c r="M10" s="178"/>
      <c r="N10" s="178"/>
      <c r="W10" s="178"/>
      <c r="X10" s="178"/>
      <c r="Y10" s="178"/>
    </row>
    <row r="13" spans="1:49" ht="15.95" hidden="1" customHeight="1">
      <c r="J13" s="53"/>
      <c r="L13" s="38"/>
      <c r="M13" s="53"/>
    </row>
    <row r="14" spans="1:49" ht="15.95" hidden="1" customHeight="1">
      <c r="J14" s="39"/>
      <c r="L14" s="39"/>
      <c r="M14" s="39"/>
    </row>
    <row r="15" spans="1:49" ht="15.95" hidden="1" customHeight="1">
      <c r="J15" s="39"/>
      <c r="L15" s="39"/>
      <c r="M15" s="39"/>
      <c r="N15" s="47"/>
      <c r="O15" s="47"/>
      <c r="P15" s="44"/>
      <c r="AD15" s="39"/>
      <c r="AE15" s="39"/>
      <c r="AF15" s="39"/>
      <c r="AG15" s="43"/>
    </row>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30"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30" t="str">
        <f>FOOT5</f>
        <v/>
      </c>
      <c r="AS201" s="228"/>
      <c r="AT201" s="228"/>
      <c r="AU201" s="228"/>
      <c r="AV201" s="228"/>
      <c r="AW201" s="228"/>
    </row>
    <row r="202" spans="1:49" ht="15.95" customHeight="1">
      <c r="A202" s="228"/>
      <c r="B202" s="229" t="s">
        <v>1254</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CONCATENATE("NC ", VERSION)</f>
        <v>NC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33" t="str">
        <f>FOOT6</f>
        <v>This is a TRC tool</v>
      </c>
      <c r="AS202" s="228"/>
      <c r="AT202" s="228"/>
      <c r="AU202" s="228"/>
      <c r="AV202" s="228"/>
      <c r="AW202" s="228"/>
    </row>
  </sheetData>
  <sheetProtection algorithmName="SHA-512" hashValue="PtIlUra6VgxwtDyFXUaOTFkDXlC9cH3y0bmv4MfyoZCu83So7L/leyWb7xnSynHhrHasyNyA4jDkI00G6BA5JQ==" saltValue="wG9O5XKInmMIxYtEYyGDWw==" spinCount="100000" sheet="1" objects="1" scenarios="1" selectLockedCells="1"/>
  <mergeCells count="10">
    <mergeCell ref="AT1:AW3"/>
    <mergeCell ref="M6:Y7"/>
    <mergeCell ref="M8:Y9"/>
    <mergeCell ref="M200:AG201"/>
    <mergeCell ref="F1:I3"/>
    <mergeCell ref="J1:M3"/>
    <mergeCell ref="O1:AE3"/>
    <mergeCell ref="AL1:AO3"/>
    <mergeCell ref="AP1:AS3"/>
    <mergeCell ref="A4:AW5"/>
  </mergeCells>
  <hyperlinks>
    <hyperlink ref="AC9" r:id="rId1" display="businessrebates@kcpl.com" xr:uid="{713C54EC-AE67-4AF5-B5E6-71D2F4CC1696}"/>
    <hyperlink ref="B202" r:id="rId2" xr:uid="{8CD439C6-4FD7-486C-ACA9-0628CB9702C8}"/>
  </hyperlinks>
  <printOptions horizontalCentered="1"/>
  <pageMargins left="0" right="0" top="0" bottom="0" header="0" footer="0"/>
  <pageSetup scale="49"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DAA68-974E-436D-8AD5-ED23D353D31F}">
  <sheetPr codeName="Sheet68">
    <tabColor theme="9" tint="0.59999389629810485"/>
    <pageSetUpPr fitToPage="1"/>
  </sheetPr>
  <dimension ref="A1:AW202"/>
  <sheetViews>
    <sheetView showGridLines="0" showRowColHeaders="0" zoomScale="85" zoomScaleNormal="85" workbookViewId="0">
      <selection activeCell="F27" sqref="F27:V27"/>
    </sheetView>
  </sheetViews>
  <sheetFormatPr defaultColWidth="0" defaultRowHeight="15.95" customHeight="1" zeroHeight="1"/>
  <cols>
    <col min="1" max="49" width="4.7109375" customWidth="1"/>
    <col min="50" max="16384" width="4.710937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B4" s="199"/>
      <c r="C4" s="199"/>
      <c r="D4" s="199"/>
      <c r="E4" s="199"/>
    </row>
    <row r="5" spans="1:49" ht="15.95" customHeight="1">
      <c r="A5" s="667">
        <f>INCENTOTAL_N</f>
        <v>0</v>
      </c>
      <c r="B5" s="667"/>
      <c r="C5" s="667"/>
      <c r="D5" s="667"/>
      <c r="E5" s="667"/>
      <c r="AQ5" s="668">
        <f ca="1">PROGRESSSTATUS_N</f>
        <v>0</v>
      </c>
      <c r="AR5" s="668"/>
      <c r="AS5" s="668"/>
      <c r="AT5" s="668"/>
      <c r="AU5" s="668"/>
      <c r="AV5" s="557"/>
      <c r="AW5" s="557"/>
    </row>
    <row r="6" spans="1:49" ht="15.95" customHeight="1">
      <c r="A6" s="667"/>
      <c r="B6" s="667"/>
      <c r="C6" s="667"/>
      <c r="D6" s="667"/>
      <c r="E6" s="667"/>
      <c r="AQ6" s="668"/>
      <c r="AR6" s="668"/>
      <c r="AS6" s="668"/>
      <c r="AT6" s="668"/>
      <c r="AU6" s="668"/>
      <c r="AV6" s="557"/>
      <c r="AW6" s="557"/>
    </row>
    <row r="7" spans="1:49" ht="15.95" customHeight="1">
      <c r="A7" s="665" t="s">
        <v>20</v>
      </c>
      <c r="B7" s="665"/>
      <c r="C7" s="665"/>
      <c r="D7" s="665"/>
      <c r="E7" s="665"/>
      <c r="AQ7" s="665" t="s">
        <v>179</v>
      </c>
      <c r="AR7" s="665"/>
      <c r="AS7" s="665"/>
      <c r="AT7" s="665"/>
      <c r="AU7" s="665"/>
      <c r="AV7" s="556"/>
      <c r="AW7" s="556"/>
    </row>
    <row r="8" spans="1:49" ht="15.95" customHeight="1" thickBot="1">
      <c r="A8" s="665"/>
      <c r="B8" s="665"/>
      <c r="C8" s="665"/>
      <c r="D8" s="665"/>
      <c r="E8" s="665"/>
      <c r="AQ8" s="666" t="str">
        <f ca="1">PROJSTATUS_N</f>
        <v>Enter Measures</v>
      </c>
      <c r="AR8" s="666"/>
      <c r="AS8" s="666"/>
      <c r="AT8" s="666"/>
      <c r="AU8" s="666"/>
      <c r="AV8" s="558"/>
      <c r="AW8" s="558"/>
    </row>
    <row r="9" spans="1:49" s="80" customFormat="1" ht="15.95" customHeight="1">
      <c r="A9" s="638" t="str">
        <f>N2S1</f>
        <v>Terms &amp; Conditions</v>
      </c>
      <c r="B9" s="638"/>
      <c r="C9" s="638"/>
      <c r="D9" s="638"/>
      <c r="E9" s="638"/>
      <c r="F9" s="638"/>
      <c r="G9" s="638"/>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c r="AT9" s="638"/>
      <c r="AU9" s="638"/>
      <c r="AV9" s="638"/>
      <c r="AW9" s="638"/>
    </row>
    <row r="10" spans="1:49" s="80" customFormat="1"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49" s="74" customFormat="1" ht="15.95" customHeight="1">
      <c r="D11" s="218"/>
      <c r="E11" s="218"/>
      <c r="F11"/>
      <c r="G11"/>
      <c r="H11"/>
      <c r="I11"/>
      <c r="J11"/>
      <c r="K11"/>
      <c r="L11"/>
      <c r="M11"/>
      <c r="N11"/>
      <c r="O11"/>
      <c r="P11"/>
      <c r="Q11"/>
      <c r="R11"/>
      <c r="S11"/>
      <c r="T11"/>
      <c r="U11"/>
      <c r="V11"/>
      <c r="W11"/>
      <c r="X11"/>
      <c r="Y11"/>
      <c r="Z11"/>
      <c r="AA11"/>
      <c r="AB11"/>
      <c r="AC11"/>
      <c r="AD11"/>
      <c r="AE11"/>
      <c r="AF11"/>
      <c r="AG11"/>
      <c r="AH11"/>
      <c r="AI11"/>
      <c r="AJ11"/>
      <c r="AK11"/>
      <c r="AL11"/>
      <c r="AM11"/>
      <c r="AN11"/>
      <c r="AO11" s="218"/>
      <c r="AP11" s="218"/>
      <c r="AQ11" s="218"/>
    </row>
    <row r="12" spans="1:49" ht="15.95" customHeight="1">
      <c r="C12" s="83"/>
      <c r="D12" s="83"/>
      <c r="E12" s="83"/>
      <c r="F12" s="646" t="s">
        <v>1146</v>
      </c>
      <c r="G12" s="647"/>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8"/>
      <c r="AP12" s="83"/>
      <c r="AQ12" s="83"/>
    </row>
    <row r="13" spans="1:49" ht="15.95" customHeight="1">
      <c r="C13" s="83"/>
      <c r="D13" s="83"/>
      <c r="E13" s="83"/>
      <c r="F13" s="652"/>
      <c r="G13" s="653"/>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c r="AG13" s="653"/>
      <c r="AH13" s="653"/>
      <c r="AI13" s="653"/>
      <c r="AJ13" s="653"/>
      <c r="AK13" s="653"/>
      <c r="AL13" s="653"/>
      <c r="AM13" s="653"/>
      <c r="AN13" s="653"/>
      <c r="AO13" s="654"/>
      <c r="AP13" s="83"/>
      <c r="AQ13" s="83"/>
    </row>
    <row r="14" spans="1:49" ht="15.95" customHeight="1">
      <c r="C14" s="83"/>
      <c r="D14" s="83"/>
      <c r="E14" s="83"/>
      <c r="F14" s="652"/>
      <c r="G14" s="653"/>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c r="AG14" s="653"/>
      <c r="AH14" s="653"/>
      <c r="AI14" s="653"/>
      <c r="AJ14" s="653"/>
      <c r="AK14" s="653"/>
      <c r="AL14" s="653"/>
      <c r="AM14" s="653"/>
      <c r="AN14" s="653"/>
      <c r="AO14" s="654"/>
      <c r="AP14" s="83"/>
      <c r="AQ14" s="83"/>
    </row>
    <row r="15" spans="1:49" ht="15.95" customHeight="1">
      <c r="C15" s="83"/>
      <c r="D15" s="83"/>
      <c r="E15" s="83"/>
      <c r="F15" s="649"/>
      <c r="G15" s="650"/>
      <c r="H15" s="650"/>
      <c r="I15" s="650"/>
      <c r="J15" s="650"/>
      <c r="K15" s="650"/>
      <c r="L15" s="650"/>
      <c r="M15" s="650"/>
      <c r="N15" s="650"/>
      <c r="O15" s="650"/>
      <c r="P15" s="650"/>
      <c r="Q15" s="650"/>
      <c r="R15" s="650"/>
      <c r="S15" s="650"/>
      <c r="T15" s="650"/>
      <c r="U15" s="650"/>
      <c r="V15" s="650"/>
      <c r="W15" s="650"/>
      <c r="X15" s="650"/>
      <c r="Y15" s="650"/>
      <c r="Z15" s="650"/>
      <c r="AA15" s="650"/>
      <c r="AB15" s="650"/>
      <c r="AC15" s="650"/>
      <c r="AD15" s="650"/>
      <c r="AE15" s="650"/>
      <c r="AF15" s="650"/>
      <c r="AG15" s="650"/>
      <c r="AH15" s="650"/>
      <c r="AI15" s="650"/>
      <c r="AJ15" s="650"/>
      <c r="AK15" s="650"/>
      <c r="AL15" s="650"/>
      <c r="AM15" s="650"/>
      <c r="AN15" s="650"/>
      <c r="AO15" s="651"/>
      <c r="AP15" s="83"/>
      <c r="AQ15" s="83"/>
    </row>
    <row r="16" spans="1:49" ht="15.95" customHeight="1">
      <c r="C16" s="83"/>
      <c r="D16" s="83"/>
      <c r="E16" s="83"/>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83"/>
      <c r="AQ16" s="83"/>
    </row>
    <row r="17" spans="3:43" ht="15.95" customHeight="1">
      <c r="C17" s="83"/>
      <c r="D17" s="83"/>
      <c r="E17" s="83"/>
      <c r="F17" s="655" t="s">
        <v>774</v>
      </c>
      <c r="G17" s="655"/>
      <c r="H17" s="655"/>
      <c r="I17" s="655"/>
      <c r="J17" s="655"/>
      <c r="K17" s="655"/>
      <c r="L17" s="655"/>
      <c r="M17" s="655"/>
      <c r="N17" s="655"/>
      <c r="O17" s="655"/>
      <c r="P17" s="655"/>
      <c r="Q17" s="655"/>
      <c r="R17" s="655"/>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83"/>
      <c r="AP17" s="83"/>
      <c r="AQ17" s="83"/>
    </row>
    <row r="18" spans="3:43" ht="15.95" customHeight="1">
      <c r="C18" s="83"/>
      <c r="D18" s="83"/>
      <c r="E18" s="83"/>
      <c r="F18" s="656" t="s">
        <v>1262</v>
      </c>
      <c r="G18" s="657"/>
      <c r="H18" s="657"/>
      <c r="I18" s="657"/>
      <c r="J18" s="657"/>
      <c r="K18" s="657"/>
      <c r="L18" s="657"/>
      <c r="M18" s="657"/>
      <c r="N18" s="657"/>
      <c r="O18" s="657"/>
      <c r="P18" s="657"/>
      <c r="Q18" s="657"/>
      <c r="R18" s="657"/>
      <c r="S18" s="657"/>
      <c r="T18" s="657"/>
      <c r="U18" s="657"/>
      <c r="V18" s="657"/>
      <c r="W18" s="657"/>
      <c r="X18" s="657"/>
      <c r="Y18" s="657"/>
      <c r="Z18" s="657"/>
      <c r="AA18" s="657"/>
      <c r="AB18" s="657"/>
      <c r="AC18" s="657"/>
      <c r="AD18" s="657"/>
      <c r="AE18" s="657"/>
      <c r="AF18" s="657"/>
      <c r="AG18" s="657"/>
      <c r="AH18" s="657"/>
      <c r="AI18" s="657"/>
      <c r="AJ18" s="657"/>
      <c r="AK18" s="657"/>
      <c r="AL18" s="657"/>
      <c r="AM18" s="657"/>
      <c r="AN18" s="657"/>
      <c r="AO18" s="658"/>
      <c r="AP18" s="83"/>
      <c r="AQ18" s="83"/>
    </row>
    <row r="19" spans="3:43" ht="15.95" customHeight="1">
      <c r="C19" s="83"/>
      <c r="D19" s="83"/>
      <c r="E19" s="83"/>
      <c r="F19" s="659"/>
      <c r="G19" s="660"/>
      <c r="H19" s="660"/>
      <c r="I19" s="660"/>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1"/>
      <c r="AP19" s="83"/>
      <c r="AQ19" s="83"/>
    </row>
    <row r="20" spans="3:43" ht="15.95" customHeight="1">
      <c r="C20" s="83"/>
      <c r="D20" s="83"/>
      <c r="E20" s="83"/>
      <c r="F20" s="662"/>
      <c r="G20" s="663"/>
      <c r="H20" s="663"/>
      <c r="I20" s="663"/>
      <c r="J20" s="663"/>
      <c r="K20" s="663"/>
      <c r="L20" s="663"/>
      <c r="M20" s="663"/>
      <c r="N20" s="663"/>
      <c r="O20" s="663"/>
      <c r="P20" s="663"/>
      <c r="Q20" s="663"/>
      <c r="R20" s="663"/>
      <c r="S20" s="663"/>
      <c r="T20" s="663"/>
      <c r="U20" s="663"/>
      <c r="V20" s="663"/>
      <c r="W20" s="663"/>
      <c r="X20" s="663"/>
      <c r="Y20" s="663"/>
      <c r="Z20" s="663"/>
      <c r="AA20" s="663"/>
      <c r="AB20" s="663"/>
      <c r="AC20" s="663"/>
      <c r="AD20" s="663"/>
      <c r="AE20" s="663"/>
      <c r="AF20" s="663"/>
      <c r="AG20" s="663"/>
      <c r="AH20" s="663"/>
      <c r="AI20" s="663"/>
      <c r="AJ20" s="663"/>
      <c r="AK20" s="663"/>
      <c r="AL20" s="663"/>
      <c r="AM20" s="663"/>
      <c r="AN20" s="663"/>
      <c r="AO20" s="664"/>
      <c r="AP20" s="83"/>
      <c r="AQ20" s="83"/>
    </row>
    <row r="21" spans="3:43" ht="15.95" customHeight="1">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row>
    <row r="22" spans="3:43" ht="15.95" customHeight="1">
      <c r="C22" s="83"/>
      <c r="D22" s="83"/>
      <c r="E22" s="83"/>
      <c r="F22" s="655" t="s">
        <v>775</v>
      </c>
      <c r="G22" s="655"/>
      <c r="H22" s="655"/>
      <c r="I22" s="655"/>
      <c r="J22" s="655"/>
      <c r="K22" s="655"/>
      <c r="L22" s="655"/>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c r="AO22" s="83"/>
      <c r="AP22" s="83"/>
      <c r="AQ22" s="83"/>
    </row>
    <row r="23" spans="3:43" ht="15.95" customHeight="1">
      <c r="C23" s="83"/>
      <c r="D23" s="83"/>
      <c r="E23" s="83"/>
      <c r="F23" s="646" t="s">
        <v>1263</v>
      </c>
      <c r="G23" s="647"/>
      <c r="H23" s="647"/>
      <c r="I23" s="647"/>
      <c r="J23" s="647"/>
      <c r="K23" s="647"/>
      <c r="L23" s="647"/>
      <c r="M23" s="647"/>
      <c r="N23" s="647"/>
      <c r="O23" s="647"/>
      <c r="P23" s="647"/>
      <c r="Q23" s="647"/>
      <c r="R23" s="647"/>
      <c r="S23" s="647"/>
      <c r="T23" s="647"/>
      <c r="U23" s="647"/>
      <c r="V23" s="647"/>
      <c r="W23" s="647"/>
      <c r="X23" s="647"/>
      <c r="Y23" s="647"/>
      <c r="Z23" s="647"/>
      <c r="AA23" s="647"/>
      <c r="AB23" s="647"/>
      <c r="AC23" s="647"/>
      <c r="AD23" s="647"/>
      <c r="AE23" s="647"/>
      <c r="AF23" s="647"/>
      <c r="AG23" s="647"/>
      <c r="AH23" s="647"/>
      <c r="AI23" s="647"/>
      <c r="AJ23" s="647"/>
      <c r="AK23" s="647"/>
      <c r="AL23" s="647"/>
      <c r="AM23" s="647"/>
      <c r="AN23" s="647"/>
      <c r="AO23" s="648"/>
      <c r="AP23" s="83"/>
      <c r="AQ23" s="83"/>
    </row>
    <row r="24" spans="3:43" ht="15.95" customHeight="1">
      <c r="C24" s="83"/>
      <c r="D24" s="83"/>
      <c r="E24" s="83"/>
      <c r="F24" s="649"/>
      <c r="G24" s="650"/>
      <c r="H24" s="650"/>
      <c r="I24" s="650"/>
      <c r="J24" s="650"/>
      <c r="K24" s="650"/>
      <c r="L24" s="650"/>
      <c r="M24" s="650"/>
      <c r="N24" s="650"/>
      <c r="O24" s="650"/>
      <c r="P24" s="650"/>
      <c r="Q24" s="650"/>
      <c r="R24" s="650"/>
      <c r="S24" s="650"/>
      <c r="T24" s="650"/>
      <c r="U24" s="650"/>
      <c r="V24" s="650"/>
      <c r="W24" s="650"/>
      <c r="X24" s="650"/>
      <c r="Y24" s="650"/>
      <c r="Z24" s="650"/>
      <c r="AA24" s="650"/>
      <c r="AB24" s="650"/>
      <c r="AC24" s="650"/>
      <c r="AD24" s="650"/>
      <c r="AE24" s="650"/>
      <c r="AF24" s="650"/>
      <c r="AG24" s="650"/>
      <c r="AH24" s="650"/>
      <c r="AI24" s="650"/>
      <c r="AJ24" s="650"/>
      <c r="AK24" s="650"/>
      <c r="AL24" s="650"/>
      <c r="AM24" s="650"/>
      <c r="AN24" s="650"/>
      <c r="AO24" s="651"/>
      <c r="AP24" s="83"/>
      <c r="AQ24" s="83"/>
    </row>
    <row r="25" spans="3:43" ht="15.95" customHeight="1">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row>
    <row r="26" spans="3:43" ht="15.95" customHeight="1" thickBot="1">
      <c r="C26" s="83"/>
      <c r="D26" s="84"/>
      <c r="E26" s="84"/>
      <c r="F26" s="639" t="s">
        <v>869</v>
      </c>
      <c r="G26" s="639"/>
      <c r="H26" s="639"/>
      <c r="I26" s="639"/>
      <c r="J26" s="639"/>
      <c r="K26" s="639"/>
      <c r="L26" s="639"/>
      <c r="M26" s="639"/>
      <c r="N26" s="639"/>
      <c r="O26" s="639"/>
      <c r="P26" s="639"/>
      <c r="Q26" s="639"/>
      <c r="R26" s="639"/>
      <c r="S26" s="639"/>
      <c r="T26" s="639"/>
      <c r="U26" s="639"/>
      <c r="V26" s="639"/>
      <c r="W26" s="85"/>
      <c r="X26" s="639" t="s">
        <v>870</v>
      </c>
      <c r="Y26" s="639"/>
      <c r="Z26" s="639"/>
      <c r="AA26" s="639"/>
      <c r="AB26" s="639"/>
      <c r="AC26" s="639"/>
      <c r="AD26" s="639"/>
      <c r="AE26" s="639"/>
      <c r="AF26" s="639"/>
      <c r="AG26" s="639"/>
      <c r="AH26" s="639"/>
      <c r="AI26" s="639"/>
      <c r="AJ26" s="639"/>
      <c r="AK26" s="85"/>
      <c r="AL26" s="639" t="s">
        <v>871</v>
      </c>
      <c r="AM26" s="639"/>
      <c r="AN26" s="639"/>
      <c r="AO26" s="639"/>
      <c r="AP26" s="84"/>
      <c r="AQ26" s="84"/>
    </row>
    <row r="27" spans="3:43" ht="15.95" customHeight="1" thickBot="1">
      <c r="C27" s="83"/>
      <c r="D27" s="84"/>
      <c r="E27" s="84"/>
      <c r="F27" s="640"/>
      <c r="G27" s="641"/>
      <c r="H27" s="641"/>
      <c r="I27" s="641"/>
      <c r="J27" s="641"/>
      <c r="K27" s="641"/>
      <c r="L27" s="641"/>
      <c r="M27" s="641"/>
      <c r="N27" s="641"/>
      <c r="O27" s="641"/>
      <c r="P27" s="641"/>
      <c r="Q27" s="641"/>
      <c r="R27" s="641"/>
      <c r="S27" s="641"/>
      <c r="T27" s="641"/>
      <c r="U27" s="641"/>
      <c r="V27" s="642"/>
      <c r="W27" s="84"/>
      <c r="X27" s="640"/>
      <c r="Y27" s="641"/>
      <c r="Z27" s="641"/>
      <c r="AA27" s="641"/>
      <c r="AB27" s="641"/>
      <c r="AC27" s="641"/>
      <c r="AD27" s="641"/>
      <c r="AE27" s="641"/>
      <c r="AF27" s="641"/>
      <c r="AG27" s="641"/>
      <c r="AH27" s="641"/>
      <c r="AI27" s="641"/>
      <c r="AJ27" s="642"/>
      <c r="AK27" s="84"/>
      <c r="AL27" s="643"/>
      <c r="AM27" s="644"/>
      <c r="AN27" s="644"/>
      <c r="AO27" s="645"/>
      <c r="AP27" s="84"/>
      <c r="AQ27" s="84"/>
    </row>
    <row r="28" spans="3:43" ht="15.95" customHeight="1">
      <c r="D28" s="56"/>
      <c r="E28" s="56"/>
      <c r="F28" s="75" t="s">
        <v>773</v>
      </c>
      <c r="AP28" s="56"/>
      <c r="AQ28" s="56"/>
    </row>
    <row r="29" spans="3:43" ht="15.95"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MHJFkLKlXxF3DxKU9Y+ENoMl9hE/OtcA6CF8JxUWcxL52zxhu3f3C3YsUVFFkWF+TLWLrD7P0y6NrmK1r01vg==" saltValue="IqB8YWl0XV5/HQaBzs/oJw==" spinCount="100000" sheet="1" objects="1" scenarios="1" selectLockedCells="1"/>
  <mergeCells count="25">
    <mergeCell ref="A7:E7"/>
    <mergeCell ref="AQ7:AU7"/>
    <mergeCell ref="A8:E8"/>
    <mergeCell ref="AQ8:AU8"/>
    <mergeCell ref="AT1:AW3"/>
    <mergeCell ref="AP1:AS3"/>
    <mergeCell ref="F1:I3"/>
    <mergeCell ref="J1:M3"/>
    <mergeCell ref="O1:AE3"/>
    <mergeCell ref="AL1:AO3"/>
    <mergeCell ref="A5:E6"/>
    <mergeCell ref="AQ5:AU6"/>
    <mergeCell ref="A9:AW10"/>
    <mergeCell ref="M200:AG201"/>
    <mergeCell ref="F26:V26"/>
    <mergeCell ref="X26:AJ26"/>
    <mergeCell ref="AL26:AO26"/>
    <mergeCell ref="F27:V27"/>
    <mergeCell ref="X27:AJ27"/>
    <mergeCell ref="AL27:AO27"/>
    <mergeCell ref="F23:AO24"/>
    <mergeCell ref="F12:AO15"/>
    <mergeCell ref="F17:AN17"/>
    <mergeCell ref="F18:AO20"/>
    <mergeCell ref="F22:AN22"/>
  </mergeCells>
  <conditionalFormatting sqref="AQ8:AW8">
    <cfRule type="expression" dxfId="153" priority="1498">
      <formula>IF($AQ$8=PROJSTATMEASURE,FALSE,TRUE)</formula>
    </cfRule>
  </conditionalFormatting>
  <dataValidations xWindow="911" yWindow="660" count="2">
    <dataValidation type="date" operator="greaterThanOrEqual" allowBlank="1" showInputMessage="1" showErrorMessage="1" error="Please enter date. Format: xx/xx/xxx" sqref="AL27:AO27" xr:uid="{D92C9CA1-1D14-4D4D-B34F-A4CE7B7C519D}">
      <formula1>32874</formula1>
    </dataValidation>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F27:V27" xr:uid="{C5476498-1D6C-4ED3-8E50-3A64C60DF4BD}"/>
  </dataValidations>
  <hyperlinks>
    <hyperlink ref="B202" r:id="rId1" display="businessrebates@evergy.com" xr:uid="{5B30D5DE-CF11-47D5-AAB0-0FB9685C7586}"/>
  </hyperlinks>
  <printOptions horizontalCentered="1"/>
  <pageMargins left="0" right="0" top="0" bottom="0" header="0" footer="0"/>
  <pageSetup scale="4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C88CA-FC76-4A2D-A7A3-AE591E60C4F2}">
  <sheetPr codeName="Sheet69">
    <tabColor theme="9" tint="0.59999389629810485"/>
    <pageSetUpPr fitToPage="1"/>
  </sheetPr>
  <dimension ref="A1:AW202"/>
  <sheetViews>
    <sheetView showGridLines="0" showRowColHeaders="0" zoomScale="85" zoomScaleNormal="85" workbookViewId="0">
      <selection activeCell="F16" sqref="F16:K16"/>
    </sheetView>
  </sheetViews>
  <sheetFormatPr defaultColWidth="0" defaultRowHeight="15.95" customHeight="1" zeroHeight="1"/>
  <cols>
    <col min="1" max="49" width="4.7109375" customWidth="1"/>
    <col min="50" max="16384" width="4.710937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B4" s="199"/>
      <c r="C4" s="199"/>
      <c r="D4" s="199"/>
      <c r="E4" s="199"/>
    </row>
    <row r="5" spans="1:49" ht="15.95" customHeight="1">
      <c r="A5" s="667">
        <f>INCENTOTAL_N</f>
        <v>0</v>
      </c>
      <c r="B5" s="667"/>
      <c r="C5" s="667"/>
      <c r="D5" s="667"/>
      <c r="E5" s="667"/>
      <c r="AQ5" s="668">
        <f ca="1">PROGRESSSTATUS_N</f>
        <v>0</v>
      </c>
      <c r="AR5" s="668"/>
      <c r="AS5" s="668"/>
      <c r="AT5" s="668"/>
      <c r="AU5" s="668"/>
      <c r="AV5" s="557"/>
      <c r="AW5" s="557"/>
    </row>
    <row r="6" spans="1:49" ht="15.95" customHeight="1">
      <c r="A6" s="667"/>
      <c r="B6" s="667"/>
      <c r="C6" s="667"/>
      <c r="D6" s="667"/>
      <c r="E6" s="667"/>
      <c r="AQ6" s="668"/>
      <c r="AR6" s="668"/>
      <c r="AS6" s="668"/>
      <c r="AT6" s="668"/>
      <c r="AU6" s="668"/>
      <c r="AV6" s="557"/>
      <c r="AW6" s="557"/>
    </row>
    <row r="7" spans="1:49" ht="15.95" customHeight="1">
      <c r="A7" s="665" t="s">
        <v>20</v>
      </c>
      <c r="B7" s="665"/>
      <c r="C7" s="665"/>
      <c r="D7" s="665"/>
      <c r="E7" s="665"/>
      <c r="AQ7" s="665" t="s">
        <v>179</v>
      </c>
      <c r="AR7" s="665"/>
      <c r="AS7" s="665"/>
      <c r="AT7" s="665"/>
      <c r="AU7" s="665"/>
      <c r="AV7" s="556"/>
      <c r="AW7" s="556"/>
    </row>
    <row r="8" spans="1:49" ht="15.95" customHeight="1" thickBot="1">
      <c r="A8" s="665"/>
      <c r="B8" s="665"/>
      <c r="C8" s="665"/>
      <c r="D8" s="665"/>
      <c r="E8" s="665"/>
      <c r="AQ8" s="674" t="str">
        <f ca="1">PROJSTATUS_N</f>
        <v>Enter Measures</v>
      </c>
      <c r="AR8" s="674"/>
      <c r="AS8" s="674"/>
      <c r="AT8" s="674"/>
      <c r="AU8" s="674"/>
      <c r="AV8" s="558"/>
      <c r="AW8" s="558"/>
    </row>
    <row r="9" spans="1:49" s="79" customFormat="1" ht="15.95" customHeight="1">
      <c r="A9" s="636" t="str">
        <f>N2S2</f>
        <v>Design Team Information</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s="79" customFormat="1"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49" ht="15.95" customHeight="1">
      <c r="F11" s="83"/>
      <c r="G11" s="83"/>
      <c r="H11" s="83"/>
      <c r="I11" s="83"/>
      <c r="J11" s="673" t="s">
        <v>1442</v>
      </c>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row>
    <row r="12" spans="1:49" ht="15.95" customHeight="1">
      <c r="C12" s="21"/>
      <c r="D12" s="21"/>
      <c r="E12" s="21"/>
      <c r="F12" s="86"/>
      <c r="G12" s="86"/>
      <c r="H12" s="86"/>
      <c r="I12" s="8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row>
    <row r="13" spans="1:49" ht="15.95" customHeight="1" thickBot="1">
      <c r="F13" s="675" t="s">
        <v>1447</v>
      </c>
      <c r="G13" s="675"/>
      <c r="H13" s="675"/>
      <c r="I13" s="675"/>
      <c r="J13" s="675"/>
      <c r="K13" s="675"/>
      <c r="L13" s="675"/>
    </row>
    <row r="14" spans="1:49" ht="15.95" customHeight="1"/>
    <row r="15" spans="1:49" ht="15.95" customHeight="1" thickBot="1">
      <c r="F15" s="84" t="s">
        <v>1444</v>
      </c>
      <c r="G15" s="84"/>
      <c r="H15" s="84"/>
      <c r="I15" s="84"/>
      <c r="J15" s="84"/>
      <c r="K15" s="84"/>
      <c r="L15" s="83"/>
      <c r="M15" s="639" t="s">
        <v>872</v>
      </c>
      <c r="N15" s="639"/>
      <c r="O15" s="639"/>
      <c r="P15" s="639"/>
      <c r="Q15" s="639"/>
      <c r="R15" s="639"/>
      <c r="S15" s="85"/>
      <c r="T15" s="639" t="s">
        <v>873</v>
      </c>
      <c r="U15" s="639"/>
      <c r="V15" s="639"/>
      <c r="W15" s="639"/>
      <c r="X15" s="639"/>
      <c r="Y15" s="639"/>
      <c r="Z15" s="85"/>
      <c r="AA15" s="639" t="s">
        <v>2375</v>
      </c>
      <c r="AB15" s="639"/>
      <c r="AC15" s="639"/>
      <c r="AD15" s="639"/>
      <c r="AE15" s="639"/>
      <c r="AF15" s="639"/>
      <c r="AG15" s="85"/>
      <c r="AH15" s="639" t="s">
        <v>2376</v>
      </c>
      <c r="AI15" s="639"/>
      <c r="AJ15" s="639"/>
      <c r="AK15" s="639"/>
      <c r="AL15" s="639"/>
      <c r="AM15" s="639"/>
    </row>
    <row r="16" spans="1:49" ht="15.95" customHeight="1" thickBot="1">
      <c r="F16" s="640"/>
      <c r="G16" s="641"/>
      <c r="H16" s="641"/>
      <c r="I16" s="641"/>
      <c r="J16" s="641"/>
      <c r="K16" s="642"/>
      <c r="L16" s="89"/>
      <c r="M16" s="640"/>
      <c r="N16" s="641"/>
      <c r="O16" s="641"/>
      <c r="P16" s="641"/>
      <c r="Q16" s="641"/>
      <c r="R16" s="642"/>
      <c r="S16" s="89"/>
      <c r="T16" s="640"/>
      <c r="U16" s="641"/>
      <c r="V16" s="641"/>
      <c r="W16" s="641"/>
      <c r="X16" s="641"/>
      <c r="Y16" s="642"/>
      <c r="Z16" s="89"/>
      <c r="AA16" s="640"/>
      <c r="AB16" s="641"/>
      <c r="AC16" s="641"/>
      <c r="AD16" s="641"/>
      <c r="AE16" s="641"/>
      <c r="AF16" s="642"/>
      <c r="AG16" s="89"/>
      <c r="AH16" s="640"/>
      <c r="AI16" s="641"/>
      <c r="AJ16" s="641"/>
      <c r="AK16" s="641"/>
      <c r="AL16" s="641"/>
      <c r="AM16" s="642"/>
    </row>
    <row r="17" spans="6:39" ht="15.95" customHeight="1"/>
    <row r="18" spans="6:39" ht="15.95" customHeight="1" thickBot="1">
      <c r="F18" s="639" t="s">
        <v>875</v>
      </c>
      <c r="G18" s="639"/>
      <c r="H18" s="639"/>
      <c r="I18" s="639"/>
      <c r="J18" s="639"/>
      <c r="K18" s="639"/>
      <c r="L18" s="85"/>
      <c r="M18" s="639" t="s">
        <v>876</v>
      </c>
      <c r="N18" s="639"/>
      <c r="O18" s="639"/>
      <c r="P18" s="639"/>
      <c r="Q18" s="639"/>
      <c r="R18" s="639"/>
      <c r="S18" s="85"/>
      <c r="T18" s="639" t="s">
        <v>877</v>
      </c>
      <c r="U18" s="639"/>
      <c r="V18" s="639"/>
      <c r="W18" s="639"/>
      <c r="X18" s="639"/>
      <c r="Y18" s="639"/>
      <c r="Z18" s="85"/>
      <c r="AA18" s="639" t="s">
        <v>878</v>
      </c>
      <c r="AB18" s="639"/>
      <c r="AC18" s="639"/>
      <c r="AD18" s="639"/>
      <c r="AE18" s="639"/>
      <c r="AF18" s="639"/>
      <c r="AG18" s="83"/>
      <c r="AH18" s="639" t="s">
        <v>879</v>
      </c>
      <c r="AI18" s="639"/>
      <c r="AJ18" s="639"/>
      <c r="AK18" s="639"/>
      <c r="AL18" s="639"/>
      <c r="AM18" s="639"/>
    </row>
    <row r="19" spans="6:39" ht="15.95" customHeight="1" thickBot="1">
      <c r="F19" s="640"/>
      <c r="G19" s="641"/>
      <c r="H19" s="641"/>
      <c r="I19" s="641"/>
      <c r="J19" s="641"/>
      <c r="K19" s="642"/>
      <c r="L19" s="89"/>
      <c r="M19" s="640"/>
      <c r="N19" s="641"/>
      <c r="O19" s="641"/>
      <c r="P19" s="641"/>
      <c r="Q19" s="641"/>
      <c r="R19" s="642"/>
      <c r="S19" s="89"/>
      <c r="T19" s="640"/>
      <c r="U19" s="641"/>
      <c r="V19" s="641"/>
      <c r="W19" s="641"/>
      <c r="X19" s="641"/>
      <c r="Y19" s="642"/>
      <c r="Z19" s="89"/>
      <c r="AA19" s="669"/>
      <c r="AB19" s="670"/>
      <c r="AC19" s="670"/>
      <c r="AD19" s="670"/>
      <c r="AE19" s="670"/>
      <c r="AF19" s="671"/>
      <c r="AG19" s="89"/>
      <c r="AH19" s="672"/>
      <c r="AI19" s="641"/>
      <c r="AJ19" s="641"/>
      <c r="AK19" s="641"/>
      <c r="AL19" s="641"/>
      <c r="AM19" s="642"/>
    </row>
    <row r="20" spans="6:39" ht="15.95" customHeight="1"/>
    <row r="21" spans="6:39" ht="15.95" customHeight="1"/>
    <row r="22" spans="6:39" ht="15.95" customHeight="1" thickBot="1">
      <c r="F22" s="675" t="s">
        <v>1446</v>
      </c>
      <c r="G22" s="675"/>
      <c r="H22" s="675"/>
      <c r="I22" s="675"/>
      <c r="J22" s="675"/>
      <c r="K22" s="675"/>
      <c r="L22" s="675"/>
    </row>
    <row r="23" spans="6:39" ht="15.95" customHeight="1"/>
    <row r="24" spans="6:39" ht="15.95" customHeight="1" thickBot="1">
      <c r="F24" s="639" t="s">
        <v>19</v>
      </c>
      <c r="G24" s="639"/>
      <c r="H24" s="639"/>
      <c r="I24" s="639"/>
      <c r="J24" s="639"/>
      <c r="K24" s="639"/>
      <c r="L24" s="83"/>
      <c r="M24" s="639" t="s">
        <v>10</v>
      </c>
      <c r="N24" s="639"/>
      <c r="O24" s="639"/>
      <c r="P24" s="639"/>
      <c r="Q24" s="639"/>
      <c r="R24" s="639"/>
      <c r="S24" s="85"/>
      <c r="T24" s="639" t="s">
        <v>8</v>
      </c>
      <c r="U24" s="639"/>
      <c r="V24" s="639"/>
      <c r="W24" s="639"/>
      <c r="X24" s="639"/>
      <c r="Y24" s="639"/>
      <c r="Z24" s="85"/>
      <c r="AA24" s="639" t="s">
        <v>9</v>
      </c>
      <c r="AB24" s="639"/>
      <c r="AC24" s="639"/>
      <c r="AD24" s="639"/>
      <c r="AE24" s="639"/>
      <c r="AF24" s="639"/>
      <c r="AG24" s="85"/>
      <c r="AH24" s="639" t="s">
        <v>787</v>
      </c>
      <c r="AI24" s="639"/>
      <c r="AJ24" s="639"/>
      <c r="AK24" s="639"/>
      <c r="AL24" s="639"/>
      <c r="AM24" s="639"/>
    </row>
    <row r="25" spans="6:39" ht="15.95" customHeight="1" thickBot="1">
      <c r="F25" s="640"/>
      <c r="G25" s="641"/>
      <c r="H25" s="641"/>
      <c r="I25" s="641"/>
      <c r="J25" s="641"/>
      <c r="K25" s="642"/>
      <c r="L25" s="89"/>
      <c r="M25" s="640"/>
      <c r="N25" s="641"/>
      <c r="O25" s="641"/>
      <c r="P25" s="641"/>
      <c r="Q25" s="641"/>
      <c r="R25" s="642"/>
      <c r="S25" s="89"/>
      <c r="T25" s="640"/>
      <c r="U25" s="641"/>
      <c r="V25" s="641"/>
      <c r="W25" s="641"/>
      <c r="X25" s="641"/>
      <c r="Y25" s="642"/>
      <c r="Z25" s="89"/>
      <c r="AA25" s="640"/>
      <c r="AB25" s="641"/>
      <c r="AC25" s="641"/>
      <c r="AD25" s="641"/>
      <c r="AE25" s="641"/>
      <c r="AF25" s="642"/>
      <c r="AG25" s="89"/>
      <c r="AH25" s="640"/>
      <c r="AI25" s="641"/>
      <c r="AJ25" s="641"/>
      <c r="AK25" s="641"/>
      <c r="AL25" s="641"/>
      <c r="AM25" s="642"/>
    </row>
    <row r="26" spans="6:39" ht="15.95" customHeight="1"/>
    <row r="27" spans="6:39" ht="15.95" customHeight="1" thickBot="1">
      <c r="F27" s="639" t="s">
        <v>1349</v>
      </c>
      <c r="G27" s="639"/>
      <c r="H27" s="639"/>
      <c r="I27" s="639"/>
      <c r="J27" s="639"/>
      <c r="K27" s="639"/>
      <c r="L27" s="85"/>
      <c r="M27" s="639" t="s">
        <v>1350</v>
      </c>
      <c r="N27" s="639"/>
      <c r="O27" s="639"/>
      <c r="P27" s="639"/>
      <c r="Q27" s="639"/>
      <c r="R27" s="639"/>
      <c r="S27" s="85"/>
      <c r="T27" s="639" t="s">
        <v>1019</v>
      </c>
      <c r="U27" s="639"/>
      <c r="V27" s="639"/>
      <c r="W27" s="639"/>
      <c r="X27" s="639"/>
      <c r="Y27" s="639"/>
      <c r="Z27" s="85"/>
      <c r="AA27" s="639" t="s">
        <v>1351</v>
      </c>
      <c r="AB27" s="639"/>
      <c r="AC27" s="639"/>
      <c r="AD27" s="639"/>
      <c r="AE27" s="639"/>
      <c r="AF27" s="639"/>
      <c r="AG27" s="83"/>
      <c r="AH27" s="639" t="s">
        <v>53</v>
      </c>
      <c r="AI27" s="639"/>
      <c r="AJ27" s="639"/>
      <c r="AK27" s="639"/>
      <c r="AL27" s="639"/>
      <c r="AM27" s="639"/>
    </row>
    <row r="28" spans="6:39" ht="15.95" customHeight="1" thickBot="1">
      <c r="F28" s="640"/>
      <c r="G28" s="641"/>
      <c r="H28" s="641"/>
      <c r="I28" s="641"/>
      <c r="J28" s="641"/>
      <c r="K28" s="642"/>
      <c r="L28" s="89"/>
      <c r="M28" s="640"/>
      <c r="N28" s="641"/>
      <c r="O28" s="641"/>
      <c r="P28" s="641"/>
      <c r="Q28" s="641"/>
      <c r="R28" s="642"/>
      <c r="S28" s="89"/>
      <c r="T28" s="640"/>
      <c r="U28" s="641"/>
      <c r="V28" s="641"/>
      <c r="W28" s="641"/>
      <c r="X28" s="641"/>
      <c r="Y28" s="642"/>
      <c r="Z28" s="89"/>
      <c r="AA28" s="669"/>
      <c r="AB28" s="670"/>
      <c r="AC28" s="670"/>
      <c r="AD28" s="670"/>
      <c r="AE28" s="670"/>
      <c r="AF28" s="671"/>
      <c r="AG28" s="89"/>
      <c r="AH28" s="672"/>
      <c r="AI28" s="641"/>
      <c r="AJ28" s="641"/>
      <c r="AK28" s="641"/>
      <c r="AL28" s="641"/>
      <c r="AM28" s="642"/>
    </row>
    <row r="29" spans="6:39" ht="15.95" customHeight="1">
      <c r="F29" s="85"/>
      <c r="G29" s="85"/>
      <c r="H29" s="85"/>
      <c r="I29" s="85"/>
      <c r="J29" s="85"/>
      <c r="K29" s="85"/>
      <c r="L29" s="89"/>
      <c r="M29" s="85"/>
      <c r="N29" s="85"/>
      <c r="O29" s="85"/>
      <c r="P29" s="85"/>
      <c r="Q29" s="85"/>
      <c r="R29" s="85"/>
      <c r="S29" s="89"/>
      <c r="T29" s="85"/>
      <c r="U29" s="85"/>
      <c r="V29" s="85"/>
      <c r="W29" s="85"/>
      <c r="X29" s="85"/>
      <c r="Y29" s="85"/>
      <c r="Z29" s="89"/>
      <c r="AA29" s="394"/>
      <c r="AB29" s="394"/>
      <c r="AC29" s="394"/>
      <c r="AD29" s="394"/>
      <c r="AE29" s="394"/>
      <c r="AF29" s="394"/>
      <c r="AG29" s="89"/>
      <c r="AH29" s="395"/>
      <c r="AI29" s="85"/>
      <c r="AJ29" s="85"/>
      <c r="AK29" s="85"/>
      <c r="AL29" s="85"/>
      <c r="AM29" s="85"/>
    </row>
    <row r="30" spans="6:39" ht="15.95" customHeight="1"/>
    <row r="31" spans="6:39" ht="15.95" customHeight="1" thickBot="1">
      <c r="F31" s="675" t="s">
        <v>1445</v>
      </c>
      <c r="G31" s="675"/>
      <c r="H31" s="675"/>
      <c r="I31" s="675"/>
      <c r="J31" s="675"/>
      <c r="K31" s="675"/>
      <c r="L31" s="675"/>
    </row>
    <row r="32" spans="6:39" ht="15.95" customHeight="1"/>
    <row r="33" spans="6:39" ht="15.95" customHeight="1" thickBot="1">
      <c r="F33" s="639" t="s">
        <v>19</v>
      </c>
      <c r="G33" s="639"/>
      <c r="H33" s="639"/>
      <c r="I33" s="639"/>
      <c r="J33" s="639"/>
      <c r="K33" s="639"/>
      <c r="L33" s="83"/>
      <c r="M33" s="639" t="s">
        <v>10</v>
      </c>
      <c r="N33" s="639"/>
      <c r="O33" s="639"/>
      <c r="P33" s="639"/>
      <c r="Q33" s="639"/>
      <c r="R33" s="639"/>
      <c r="S33" s="85"/>
      <c r="T33" s="639" t="s">
        <v>8</v>
      </c>
      <c r="U33" s="639"/>
      <c r="V33" s="639"/>
      <c r="W33" s="639"/>
      <c r="X33" s="639"/>
      <c r="Y33" s="639"/>
      <c r="Z33" s="85"/>
      <c r="AA33" s="639" t="s">
        <v>9</v>
      </c>
      <c r="AB33" s="639"/>
      <c r="AC33" s="639"/>
      <c r="AD33" s="639"/>
      <c r="AE33" s="639"/>
      <c r="AF33" s="639"/>
      <c r="AG33" s="85"/>
      <c r="AH33" s="639" t="s">
        <v>787</v>
      </c>
      <c r="AI33" s="639"/>
      <c r="AJ33" s="639"/>
      <c r="AK33" s="639"/>
      <c r="AL33" s="639"/>
      <c r="AM33" s="639"/>
    </row>
    <row r="34" spans="6:39" ht="15.95" customHeight="1" thickBot="1">
      <c r="F34" s="640"/>
      <c r="G34" s="641"/>
      <c r="H34" s="641"/>
      <c r="I34" s="641"/>
      <c r="J34" s="641"/>
      <c r="K34" s="642"/>
      <c r="L34" s="89"/>
      <c r="M34" s="640"/>
      <c r="N34" s="641"/>
      <c r="O34" s="641"/>
      <c r="P34" s="641"/>
      <c r="Q34" s="641"/>
      <c r="R34" s="642"/>
      <c r="S34" s="89"/>
      <c r="T34" s="640"/>
      <c r="U34" s="641"/>
      <c r="V34" s="641"/>
      <c r="W34" s="641"/>
      <c r="X34" s="641"/>
      <c r="Y34" s="642"/>
      <c r="Z34" s="89"/>
      <c r="AA34" s="640"/>
      <c r="AB34" s="641"/>
      <c r="AC34" s="641"/>
      <c r="AD34" s="641"/>
      <c r="AE34" s="641"/>
      <c r="AF34" s="642"/>
      <c r="AG34" s="89"/>
      <c r="AH34" s="640"/>
      <c r="AI34" s="641"/>
      <c r="AJ34" s="641"/>
      <c r="AK34" s="641"/>
      <c r="AL34" s="641"/>
      <c r="AM34" s="642"/>
    </row>
    <row r="35" spans="6:39" ht="15.95" customHeight="1"/>
    <row r="36" spans="6:39" ht="15.95" customHeight="1" thickBot="1">
      <c r="F36" s="639" t="s">
        <v>1349</v>
      </c>
      <c r="G36" s="639"/>
      <c r="H36" s="639"/>
      <c r="I36" s="639"/>
      <c r="J36" s="639"/>
      <c r="K36" s="639"/>
      <c r="L36" s="85"/>
      <c r="M36" s="639" t="s">
        <v>1350</v>
      </c>
      <c r="N36" s="639"/>
      <c r="O36" s="639"/>
      <c r="P36" s="639"/>
      <c r="Q36" s="639"/>
      <c r="R36" s="639"/>
      <c r="S36" s="85"/>
      <c r="T36" s="639" t="s">
        <v>1019</v>
      </c>
      <c r="U36" s="639"/>
      <c r="V36" s="639"/>
      <c r="W36" s="639"/>
      <c r="X36" s="639"/>
      <c r="Y36" s="639"/>
      <c r="Z36" s="85"/>
      <c r="AA36" s="639" t="s">
        <v>1351</v>
      </c>
      <c r="AB36" s="639"/>
      <c r="AC36" s="639"/>
      <c r="AD36" s="639"/>
      <c r="AE36" s="639"/>
      <c r="AF36" s="639"/>
      <c r="AG36" s="83"/>
      <c r="AH36" s="639" t="s">
        <v>53</v>
      </c>
      <c r="AI36" s="639"/>
      <c r="AJ36" s="639"/>
      <c r="AK36" s="639"/>
      <c r="AL36" s="639"/>
      <c r="AM36" s="639"/>
    </row>
    <row r="37" spans="6:39" ht="15.95" customHeight="1" thickBot="1">
      <c r="F37" s="640"/>
      <c r="G37" s="641"/>
      <c r="H37" s="641"/>
      <c r="I37" s="641"/>
      <c r="J37" s="641"/>
      <c r="K37" s="642"/>
      <c r="L37" s="89"/>
      <c r="M37" s="640"/>
      <c r="N37" s="641"/>
      <c r="O37" s="641"/>
      <c r="P37" s="641"/>
      <c r="Q37" s="641"/>
      <c r="R37" s="642"/>
      <c r="S37" s="89"/>
      <c r="T37" s="640"/>
      <c r="U37" s="641"/>
      <c r="V37" s="641"/>
      <c r="W37" s="641"/>
      <c r="X37" s="641"/>
      <c r="Y37" s="642"/>
      <c r="Z37" s="89"/>
      <c r="AA37" s="669"/>
      <c r="AB37" s="670"/>
      <c r="AC37" s="670"/>
      <c r="AD37" s="670"/>
      <c r="AE37" s="670"/>
      <c r="AF37" s="671"/>
      <c r="AG37" s="89"/>
      <c r="AH37" s="672"/>
      <c r="AI37" s="641"/>
      <c r="AJ37" s="641"/>
      <c r="AK37" s="641"/>
      <c r="AL37" s="641"/>
      <c r="AM37" s="642"/>
    </row>
    <row r="38" spans="6:39" ht="15.95" customHeight="1"/>
    <row r="39" spans="6:39" ht="15.95" customHeight="1"/>
    <row r="40" spans="6:39" ht="15.95" customHeight="1" thickBot="1">
      <c r="F40" s="675" t="s">
        <v>1443</v>
      </c>
      <c r="G40" s="675"/>
      <c r="H40" s="675"/>
      <c r="I40" s="675"/>
      <c r="J40" s="675"/>
      <c r="K40" s="675"/>
      <c r="L40" s="675"/>
    </row>
    <row r="41" spans="6:39" ht="15.95" customHeight="1"/>
    <row r="42" spans="6:39" ht="15.95" customHeight="1" thickBot="1">
      <c r="F42" s="639" t="s">
        <v>19</v>
      </c>
      <c r="G42" s="639"/>
      <c r="H42" s="639"/>
      <c r="I42" s="639"/>
      <c r="J42" s="639"/>
      <c r="K42" s="639"/>
      <c r="L42" s="83"/>
      <c r="M42" s="639" t="s">
        <v>10</v>
      </c>
      <c r="N42" s="639"/>
      <c r="O42" s="639"/>
      <c r="P42" s="639"/>
      <c r="Q42" s="639"/>
      <c r="R42" s="639"/>
      <c r="S42" s="85"/>
      <c r="T42" s="639" t="s">
        <v>8</v>
      </c>
      <c r="U42" s="639"/>
      <c r="V42" s="639"/>
      <c r="W42" s="639"/>
      <c r="X42" s="639"/>
      <c r="Y42" s="639"/>
      <c r="Z42" s="85"/>
      <c r="AA42" s="639" t="s">
        <v>9</v>
      </c>
      <c r="AB42" s="639"/>
      <c r="AC42" s="639"/>
      <c r="AD42" s="639"/>
      <c r="AE42" s="639"/>
      <c r="AF42" s="639"/>
      <c r="AG42" s="85"/>
      <c r="AH42" s="639" t="s">
        <v>787</v>
      </c>
      <c r="AI42" s="639"/>
      <c r="AJ42" s="639"/>
      <c r="AK42" s="639"/>
      <c r="AL42" s="639"/>
      <c r="AM42" s="639"/>
    </row>
    <row r="43" spans="6:39" ht="15.95" customHeight="1" thickBot="1">
      <c r="F43" s="640"/>
      <c r="G43" s="641"/>
      <c r="H43" s="641"/>
      <c r="I43" s="641"/>
      <c r="J43" s="641"/>
      <c r="K43" s="642"/>
      <c r="L43" s="89"/>
      <c r="M43" s="640"/>
      <c r="N43" s="641"/>
      <c r="O43" s="641"/>
      <c r="P43" s="641"/>
      <c r="Q43" s="641"/>
      <c r="R43" s="642"/>
      <c r="S43" s="89"/>
      <c r="T43" s="640"/>
      <c r="U43" s="641"/>
      <c r="V43" s="641"/>
      <c r="W43" s="641"/>
      <c r="X43" s="641"/>
      <c r="Y43" s="642"/>
      <c r="Z43" s="89"/>
      <c r="AA43" s="640"/>
      <c r="AB43" s="641"/>
      <c r="AC43" s="641"/>
      <c r="AD43" s="641"/>
      <c r="AE43" s="641"/>
      <c r="AF43" s="642"/>
      <c r="AG43" s="89"/>
      <c r="AH43" s="640"/>
      <c r="AI43" s="641"/>
      <c r="AJ43" s="641"/>
      <c r="AK43" s="641"/>
      <c r="AL43" s="641"/>
      <c r="AM43" s="642"/>
    </row>
    <row r="44" spans="6:39" ht="15.95" customHeight="1"/>
    <row r="45" spans="6:39" ht="15.95" customHeight="1" thickBot="1">
      <c r="F45" s="639" t="s">
        <v>1349</v>
      </c>
      <c r="G45" s="639"/>
      <c r="H45" s="639"/>
      <c r="I45" s="639"/>
      <c r="J45" s="639"/>
      <c r="K45" s="639"/>
      <c r="L45" s="85"/>
      <c r="M45" s="639" t="s">
        <v>1350</v>
      </c>
      <c r="N45" s="639"/>
      <c r="O45" s="639"/>
      <c r="P45" s="639"/>
      <c r="Q45" s="639"/>
      <c r="R45" s="639"/>
      <c r="S45" s="85"/>
      <c r="T45" s="639" t="s">
        <v>1019</v>
      </c>
      <c r="U45" s="639"/>
      <c r="V45" s="639"/>
      <c r="W45" s="639"/>
      <c r="X45" s="639"/>
      <c r="Y45" s="639"/>
      <c r="Z45" s="85"/>
      <c r="AA45" s="639" t="s">
        <v>1351</v>
      </c>
      <c r="AB45" s="639"/>
      <c r="AC45" s="639"/>
      <c r="AD45" s="639"/>
      <c r="AE45" s="639"/>
      <c r="AF45" s="639"/>
      <c r="AG45" s="83"/>
      <c r="AH45" s="639" t="s">
        <v>53</v>
      </c>
      <c r="AI45" s="639"/>
      <c r="AJ45" s="639"/>
      <c r="AK45" s="639"/>
      <c r="AL45" s="639"/>
      <c r="AM45" s="639"/>
    </row>
    <row r="46" spans="6:39" ht="15.95" customHeight="1" thickBot="1">
      <c r="F46" s="640"/>
      <c r="G46" s="641"/>
      <c r="H46" s="641"/>
      <c r="I46" s="641"/>
      <c r="J46" s="641"/>
      <c r="K46" s="642"/>
      <c r="L46" s="89"/>
      <c r="M46" s="640"/>
      <c r="N46" s="641"/>
      <c r="O46" s="641"/>
      <c r="P46" s="641"/>
      <c r="Q46" s="641"/>
      <c r="R46" s="642"/>
      <c r="S46" s="89"/>
      <c r="T46" s="640"/>
      <c r="U46" s="641"/>
      <c r="V46" s="641"/>
      <c r="W46" s="641"/>
      <c r="X46" s="641"/>
      <c r="Y46" s="642"/>
      <c r="Z46" s="89"/>
      <c r="AA46" s="669"/>
      <c r="AB46" s="670"/>
      <c r="AC46" s="670"/>
      <c r="AD46" s="670"/>
      <c r="AE46" s="670"/>
      <c r="AF46" s="671"/>
      <c r="AG46" s="89"/>
      <c r="AH46" s="672"/>
      <c r="AI46" s="641"/>
      <c r="AJ46" s="641"/>
      <c r="AK46" s="641"/>
      <c r="AL46" s="641"/>
      <c r="AM46" s="642"/>
    </row>
    <row r="47" spans="6:39" ht="15.95" customHeight="1"/>
    <row r="48" spans="6:39" ht="15.95" customHeight="1"/>
    <row r="49" spans="6:39" ht="15.95" customHeight="1" thickBot="1">
      <c r="F49" s="675" t="s">
        <v>1448</v>
      </c>
      <c r="G49" s="675"/>
      <c r="H49" s="675"/>
      <c r="I49" s="675"/>
      <c r="J49" s="675"/>
      <c r="K49" s="675"/>
      <c r="L49" s="675"/>
    </row>
    <row r="50" spans="6:39" ht="15.95" customHeight="1"/>
    <row r="51" spans="6:39" ht="15.95" customHeight="1" thickBot="1">
      <c r="F51" s="639" t="s">
        <v>19</v>
      </c>
      <c r="G51" s="639"/>
      <c r="H51" s="639"/>
      <c r="I51" s="639"/>
      <c r="J51" s="639"/>
      <c r="K51" s="639"/>
      <c r="L51" s="83"/>
      <c r="M51" s="639" t="s">
        <v>10</v>
      </c>
      <c r="N51" s="639"/>
      <c r="O51" s="639"/>
      <c r="P51" s="639"/>
      <c r="Q51" s="639"/>
      <c r="R51" s="639"/>
      <c r="S51" s="85"/>
      <c r="T51" s="639" t="s">
        <v>8</v>
      </c>
      <c r="U51" s="639"/>
      <c r="V51" s="639"/>
      <c r="W51" s="639"/>
      <c r="X51" s="639"/>
      <c r="Y51" s="639"/>
      <c r="Z51" s="85"/>
      <c r="AA51" s="639" t="s">
        <v>9</v>
      </c>
      <c r="AB51" s="639"/>
      <c r="AC51" s="639"/>
      <c r="AD51" s="639"/>
      <c r="AE51" s="639"/>
      <c r="AF51" s="639"/>
      <c r="AG51" s="85"/>
      <c r="AH51" s="639" t="s">
        <v>787</v>
      </c>
      <c r="AI51" s="639"/>
      <c r="AJ51" s="639"/>
      <c r="AK51" s="639"/>
      <c r="AL51" s="639"/>
      <c r="AM51" s="639"/>
    </row>
    <row r="52" spans="6:39" ht="15.95" customHeight="1" thickBot="1">
      <c r="F52" s="640"/>
      <c r="G52" s="641"/>
      <c r="H52" s="641"/>
      <c r="I52" s="641"/>
      <c r="J52" s="641"/>
      <c r="K52" s="642"/>
      <c r="L52" s="89"/>
      <c r="M52" s="640"/>
      <c r="N52" s="641"/>
      <c r="O52" s="641"/>
      <c r="P52" s="641"/>
      <c r="Q52" s="641"/>
      <c r="R52" s="642"/>
      <c r="S52" s="89"/>
      <c r="T52" s="640"/>
      <c r="U52" s="641"/>
      <c r="V52" s="641"/>
      <c r="W52" s="641"/>
      <c r="X52" s="641"/>
      <c r="Y52" s="642"/>
      <c r="Z52" s="89"/>
      <c r="AA52" s="640"/>
      <c r="AB52" s="641"/>
      <c r="AC52" s="641"/>
      <c r="AD52" s="641"/>
      <c r="AE52" s="641"/>
      <c r="AF52" s="642"/>
      <c r="AG52" s="89"/>
      <c r="AH52" s="640"/>
      <c r="AI52" s="641"/>
      <c r="AJ52" s="641"/>
      <c r="AK52" s="641"/>
      <c r="AL52" s="641"/>
      <c r="AM52" s="642"/>
    </row>
    <row r="53" spans="6:39" ht="15.95" customHeight="1"/>
    <row r="54" spans="6:39" ht="15.95" customHeight="1" thickBot="1">
      <c r="F54" s="639" t="s">
        <v>1349</v>
      </c>
      <c r="G54" s="639"/>
      <c r="H54" s="639"/>
      <c r="I54" s="639"/>
      <c r="J54" s="639"/>
      <c r="K54" s="639"/>
      <c r="L54" s="85"/>
      <c r="M54" s="639" t="s">
        <v>1350</v>
      </c>
      <c r="N54" s="639"/>
      <c r="O54" s="639"/>
      <c r="P54" s="639"/>
      <c r="Q54" s="639"/>
      <c r="R54" s="639"/>
      <c r="S54" s="85"/>
      <c r="T54" s="639" t="s">
        <v>1019</v>
      </c>
      <c r="U54" s="639"/>
      <c r="V54" s="639"/>
      <c r="W54" s="639"/>
      <c r="X54" s="639"/>
      <c r="Y54" s="639"/>
      <c r="Z54" s="85"/>
      <c r="AA54" s="639" t="s">
        <v>1351</v>
      </c>
      <c r="AB54" s="639"/>
      <c r="AC54" s="639"/>
      <c r="AD54" s="639"/>
      <c r="AE54" s="639"/>
      <c r="AF54" s="639"/>
      <c r="AG54" s="83"/>
      <c r="AH54" s="639" t="s">
        <v>53</v>
      </c>
      <c r="AI54" s="639"/>
      <c r="AJ54" s="639"/>
      <c r="AK54" s="639"/>
      <c r="AL54" s="639"/>
      <c r="AM54" s="639"/>
    </row>
    <row r="55" spans="6:39" ht="15.95" customHeight="1" thickBot="1">
      <c r="F55" s="640"/>
      <c r="G55" s="641"/>
      <c r="H55" s="641"/>
      <c r="I55" s="641"/>
      <c r="J55" s="641"/>
      <c r="K55" s="642"/>
      <c r="L55" s="89"/>
      <c r="M55" s="640"/>
      <c r="N55" s="641"/>
      <c r="O55" s="641"/>
      <c r="P55" s="641"/>
      <c r="Q55" s="641"/>
      <c r="R55" s="642"/>
      <c r="S55" s="89"/>
      <c r="T55" s="640"/>
      <c r="U55" s="641"/>
      <c r="V55" s="641"/>
      <c r="W55" s="641"/>
      <c r="X55" s="641"/>
      <c r="Y55" s="642"/>
      <c r="Z55" s="89"/>
      <c r="AA55" s="669"/>
      <c r="AB55" s="670"/>
      <c r="AC55" s="670"/>
      <c r="AD55" s="670"/>
      <c r="AE55" s="670"/>
      <c r="AF55" s="671"/>
      <c r="AG55" s="89"/>
      <c r="AH55" s="672"/>
      <c r="AI55" s="641"/>
      <c r="AJ55" s="641"/>
      <c r="AK55" s="641"/>
      <c r="AL55" s="641"/>
      <c r="AM55" s="642"/>
    </row>
    <row r="56" spans="6:39" ht="15.95" customHeight="1"/>
    <row r="57" spans="6:39" ht="15.95" customHeight="1"/>
    <row r="58" spans="6:39" ht="15.95" customHeight="1" thickBot="1">
      <c r="F58" s="675" t="s">
        <v>1448</v>
      </c>
      <c r="G58" s="675"/>
      <c r="H58" s="675"/>
      <c r="I58" s="675"/>
      <c r="J58" s="675"/>
      <c r="K58" s="675"/>
      <c r="L58" s="675"/>
    </row>
    <row r="59" spans="6:39" ht="15.95" customHeight="1"/>
    <row r="60" spans="6:39" ht="15.95" customHeight="1" thickBot="1">
      <c r="F60" s="639" t="s">
        <v>19</v>
      </c>
      <c r="G60" s="639"/>
      <c r="H60" s="639"/>
      <c r="I60" s="639"/>
      <c r="J60" s="639"/>
      <c r="K60" s="639"/>
      <c r="L60" s="83"/>
      <c r="M60" s="639" t="s">
        <v>10</v>
      </c>
      <c r="N60" s="639"/>
      <c r="O60" s="639"/>
      <c r="P60" s="639"/>
      <c r="Q60" s="639"/>
      <c r="R60" s="639"/>
      <c r="S60" s="85"/>
      <c r="T60" s="639" t="s">
        <v>8</v>
      </c>
      <c r="U60" s="639"/>
      <c r="V60" s="639"/>
      <c r="W60" s="639"/>
      <c r="X60" s="639"/>
      <c r="Y60" s="639"/>
      <c r="Z60" s="85"/>
      <c r="AA60" s="639" t="s">
        <v>9</v>
      </c>
      <c r="AB60" s="639"/>
      <c r="AC60" s="639"/>
      <c r="AD60" s="639"/>
      <c r="AE60" s="639"/>
      <c r="AF60" s="639"/>
      <c r="AG60" s="85"/>
      <c r="AH60" s="639" t="s">
        <v>787</v>
      </c>
      <c r="AI60" s="639"/>
      <c r="AJ60" s="639"/>
      <c r="AK60" s="639"/>
      <c r="AL60" s="639"/>
      <c r="AM60" s="639"/>
    </row>
    <row r="61" spans="6:39" ht="15.95" customHeight="1" thickBot="1">
      <c r="F61" s="640"/>
      <c r="G61" s="641"/>
      <c r="H61" s="641"/>
      <c r="I61" s="641"/>
      <c r="J61" s="641"/>
      <c r="K61" s="642"/>
      <c r="L61" s="89"/>
      <c r="M61" s="640"/>
      <c r="N61" s="641"/>
      <c r="O61" s="641"/>
      <c r="P61" s="641"/>
      <c r="Q61" s="641"/>
      <c r="R61" s="642"/>
      <c r="S61" s="89"/>
      <c r="T61" s="640"/>
      <c r="U61" s="641"/>
      <c r="V61" s="641"/>
      <c r="W61" s="641"/>
      <c r="X61" s="641"/>
      <c r="Y61" s="642"/>
      <c r="Z61" s="89"/>
      <c r="AA61" s="640"/>
      <c r="AB61" s="641"/>
      <c r="AC61" s="641"/>
      <c r="AD61" s="641"/>
      <c r="AE61" s="641"/>
      <c r="AF61" s="642"/>
      <c r="AG61" s="89"/>
      <c r="AH61" s="640"/>
      <c r="AI61" s="641"/>
      <c r="AJ61" s="641"/>
      <c r="AK61" s="641"/>
      <c r="AL61" s="641"/>
      <c r="AM61" s="642"/>
    </row>
    <row r="62" spans="6:39" ht="15.95" customHeight="1"/>
    <row r="63" spans="6:39" ht="15.95" customHeight="1" thickBot="1">
      <c r="F63" s="639" t="s">
        <v>1349</v>
      </c>
      <c r="G63" s="639"/>
      <c r="H63" s="639"/>
      <c r="I63" s="639"/>
      <c r="J63" s="639"/>
      <c r="K63" s="639"/>
      <c r="L63" s="85"/>
      <c r="M63" s="639" t="s">
        <v>1350</v>
      </c>
      <c r="N63" s="639"/>
      <c r="O63" s="639"/>
      <c r="P63" s="639"/>
      <c r="Q63" s="639"/>
      <c r="R63" s="639"/>
      <c r="S63" s="85"/>
      <c r="T63" s="639" t="s">
        <v>1019</v>
      </c>
      <c r="U63" s="639"/>
      <c r="V63" s="639"/>
      <c r="W63" s="639"/>
      <c r="X63" s="639"/>
      <c r="Y63" s="639"/>
      <c r="Z63" s="85"/>
      <c r="AA63" s="639" t="s">
        <v>1351</v>
      </c>
      <c r="AB63" s="639"/>
      <c r="AC63" s="639"/>
      <c r="AD63" s="639"/>
      <c r="AE63" s="639"/>
      <c r="AF63" s="639"/>
      <c r="AG63" s="83"/>
      <c r="AH63" s="639" t="s">
        <v>53</v>
      </c>
      <c r="AI63" s="639"/>
      <c r="AJ63" s="639"/>
      <c r="AK63" s="639"/>
      <c r="AL63" s="639"/>
      <c r="AM63" s="639"/>
    </row>
    <row r="64" spans="6:39" ht="15.95" customHeight="1" thickBot="1">
      <c r="F64" s="640"/>
      <c r="G64" s="641"/>
      <c r="H64" s="641"/>
      <c r="I64" s="641"/>
      <c r="J64" s="641"/>
      <c r="K64" s="642"/>
      <c r="L64" s="89"/>
      <c r="M64" s="640"/>
      <c r="N64" s="641"/>
      <c r="O64" s="641"/>
      <c r="P64" s="641"/>
      <c r="Q64" s="641"/>
      <c r="R64" s="642"/>
      <c r="S64" s="89"/>
      <c r="T64" s="640"/>
      <c r="U64" s="641"/>
      <c r="V64" s="641"/>
      <c r="W64" s="641"/>
      <c r="X64" s="641"/>
      <c r="Y64" s="642"/>
      <c r="Z64" s="89"/>
      <c r="AA64" s="669"/>
      <c r="AB64" s="670"/>
      <c r="AC64" s="670"/>
      <c r="AD64" s="670"/>
      <c r="AE64" s="670"/>
      <c r="AF64" s="671"/>
      <c r="AG64" s="89"/>
      <c r="AH64" s="672"/>
      <c r="AI64" s="641"/>
      <c r="AJ64" s="641"/>
      <c r="AK64" s="641"/>
      <c r="AL64" s="641"/>
      <c r="AM64" s="642"/>
    </row>
    <row r="65" ht="15.95"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6.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ZhLqjaVlp7WQ6jtLM5gh+nkmCXqF5keUm64YHSjt1Ef2uaZ2rhcsGRVL56MO4jkfF0t75MO82rJ4S455LWUlXg==" saltValue="qMTEE///vK2t9Br1qB1zIw==" spinCount="100000" sheet="1" objects="1" scenarios="1" selectLockedCells="1"/>
  <mergeCells count="140">
    <mergeCell ref="A7:E7"/>
    <mergeCell ref="AQ7:AU7"/>
    <mergeCell ref="F55:K55"/>
    <mergeCell ref="M55:R55"/>
    <mergeCell ref="T55:Y55"/>
    <mergeCell ref="AA55:AF55"/>
    <mergeCell ref="AH55:AM55"/>
    <mergeCell ref="AH52:AM52"/>
    <mergeCell ref="F54:K54"/>
    <mergeCell ref="M54:R54"/>
    <mergeCell ref="T54:Y54"/>
    <mergeCell ref="AA54:AF54"/>
    <mergeCell ref="AH54:AM54"/>
    <mergeCell ref="F22:L22"/>
    <mergeCell ref="F31:L31"/>
    <mergeCell ref="F46:K46"/>
    <mergeCell ref="M46:R46"/>
    <mergeCell ref="T46:Y46"/>
    <mergeCell ref="AA46:AF46"/>
    <mergeCell ref="AH51:AM51"/>
    <mergeCell ref="F52:K52"/>
    <mergeCell ref="M52:R52"/>
    <mergeCell ref="T52:Y52"/>
    <mergeCell ref="AA52:AF52"/>
    <mergeCell ref="F64:K64"/>
    <mergeCell ref="M64:R64"/>
    <mergeCell ref="T64:Y64"/>
    <mergeCell ref="AA64:AF64"/>
    <mergeCell ref="AH64:AM64"/>
    <mergeCell ref="F63:K63"/>
    <mergeCell ref="M63:R63"/>
    <mergeCell ref="T63:Y63"/>
    <mergeCell ref="AA63:AF63"/>
    <mergeCell ref="AH63:AM63"/>
    <mergeCell ref="F61:K61"/>
    <mergeCell ref="M61:R61"/>
    <mergeCell ref="T61:Y61"/>
    <mergeCell ref="AA61:AF61"/>
    <mergeCell ref="AH61:AM61"/>
    <mergeCell ref="F58:L58"/>
    <mergeCell ref="M60:R60"/>
    <mergeCell ref="T60:Y60"/>
    <mergeCell ref="AA60:AF60"/>
    <mergeCell ref="AH60:AM60"/>
    <mergeCell ref="F51:K51"/>
    <mergeCell ref="F60:K60"/>
    <mergeCell ref="M36:R36"/>
    <mergeCell ref="T36:Y36"/>
    <mergeCell ref="AA36:AF36"/>
    <mergeCell ref="AH36:AM36"/>
    <mergeCell ref="F40:L40"/>
    <mergeCell ref="F37:K37"/>
    <mergeCell ref="AH46:AM46"/>
    <mergeCell ref="F45:K45"/>
    <mergeCell ref="M45:R45"/>
    <mergeCell ref="T45:Y45"/>
    <mergeCell ref="AA45:AF45"/>
    <mergeCell ref="AH45:AM45"/>
    <mergeCell ref="F42:K42"/>
    <mergeCell ref="F43:K43"/>
    <mergeCell ref="M43:R43"/>
    <mergeCell ref="T43:Y43"/>
    <mergeCell ref="AA43:AF43"/>
    <mergeCell ref="AH43:AM43"/>
    <mergeCell ref="M42:R42"/>
    <mergeCell ref="T42:Y42"/>
    <mergeCell ref="AA42:AF42"/>
    <mergeCell ref="AH42:AM42"/>
    <mergeCell ref="M200:AG201"/>
    <mergeCell ref="F25:K25"/>
    <mergeCell ref="M25:R25"/>
    <mergeCell ref="T25:Y25"/>
    <mergeCell ref="AA25:AF25"/>
    <mergeCell ref="F24:K24"/>
    <mergeCell ref="M24:R24"/>
    <mergeCell ref="T24:Y24"/>
    <mergeCell ref="AA24:AF24"/>
    <mergeCell ref="F28:K28"/>
    <mergeCell ref="M28:R28"/>
    <mergeCell ref="T28:Y28"/>
    <mergeCell ref="AA28:AF28"/>
    <mergeCell ref="F34:K34"/>
    <mergeCell ref="M34:R34"/>
    <mergeCell ref="F27:K27"/>
    <mergeCell ref="M27:R27"/>
    <mergeCell ref="T27:Y27"/>
    <mergeCell ref="AA27:AF27"/>
    <mergeCell ref="AA33:AF33"/>
    <mergeCell ref="F49:L49"/>
    <mergeCell ref="M51:R51"/>
    <mergeCell ref="T51:Y51"/>
    <mergeCell ref="AA51:AF51"/>
    <mergeCell ref="AH28:AM28"/>
    <mergeCell ref="M33:R33"/>
    <mergeCell ref="T33:Y33"/>
    <mergeCell ref="M37:R37"/>
    <mergeCell ref="T37:Y37"/>
    <mergeCell ref="AA37:AF37"/>
    <mergeCell ref="AH37:AM37"/>
    <mergeCell ref="T34:Y34"/>
    <mergeCell ref="F1:I3"/>
    <mergeCell ref="J1:M3"/>
    <mergeCell ref="O1:AE3"/>
    <mergeCell ref="AL1:AO3"/>
    <mergeCell ref="M16:R16"/>
    <mergeCell ref="T16:Y16"/>
    <mergeCell ref="AA16:AF16"/>
    <mergeCell ref="F13:L13"/>
    <mergeCell ref="AH24:AM24"/>
    <mergeCell ref="AH27:AM27"/>
    <mergeCell ref="AH25:AM25"/>
    <mergeCell ref="F33:K33"/>
    <mergeCell ref="AH33:AM33"/>
    <mergeCell ref="AA34:AF34"/>
    <mergeCell ref="AH34:AM34"/>
    <mergeCell ref="F36:K36"/>
    <mergeCell ref="AP1:AS3"/>
    <mergeCell ref="AT1:AW3"/>
    <mergeCell ref="F19:K19"/>
    <mergeCell ref="M19:R19"/>
    <mergeCell ref="T19:Y19"/>
    <mergeCell ref="AA19:AF19"/>
    <mergeCell ref="AH19:AM19"/>
    <mergeCell ref="M15:R15"/>
    <mergeCell ref="T15:Y15"/>
    <mergeCell ref="AA15:AF15"/>
    <mergeCell ref="AH15:AM15"/>
    <mergeCell ref="AH16:AM16"/>
    <mergeCell ref="F18:K18"/>
    <mergeCell ref="M18:R18"/>
    <mergeCell ref="T18:Y18"/>
    <mergeCell ref="AA18:AF18"/>
    <mergeCell ref="AH18:AM18"/>
    <mergeCell ref="F16:K16"/>
    <mergeCell ref="A9:AW10"/>
    <mergeCell ref="J11:AN12"/>
    <mergeCell ref="A8:E8"/>
    <mergeCell ref="AQ8:AU8"/>
    <mergeCell ref="A5:E6"/>
    <mergeCell ref="AQ5:AU6"/>
  </mergeCells>
  <conditionalFormatting sqref="M24:AM25 F27:AM28">
    <cfRule type="expression" dxfId="152" priority="5">
      <formula>IF(N02S02F11="",TRUE,FALSE)</formula>
    </cfRule>
  </conditionalFormatting>
  <conditionalFormatting sqref="M33:AM34 F36:AM37">
    <cfRule type="expression" dxfId="151" priority="4">
      <formula>IF(N02S02F21="",TRUE,FALSE)</formula>
    </cfRule>
  </conditionalFormatting>
  <conditionalFormatting sqref="M42:AM43 F45:AM46">
    <cfRule type="expression" dxfId="150" priority="3">
      <formula>IF(N02S02F31="",TRUE,FALSE)</formula>
    </cfRule>
  </conditionalFormatting>
  <conditionalFormatting sqref="M51:AM55 F54:K55">
    <cfRule type="expression" dxfId="149" priority="2">
      <formula>IF(N02S02F41="",TRUE,FALSE)</formula>
    </cfRule>
  </conditionalFormatting>
  <conditionalFormatting sqref="M60:AM61 F63:AM64">
    <cfRule type="expression" dxfId="148" priority="1">
      <formula>IF(N02S02F51="",TRUE,FALSE)</formula>
    </cfRule>
  </conditionalFormatting>
  <conditionalFormatting sqref="AQ8:AW8">
    <cfRule type="expression" dxfId="147" priority="1508">
      <formula>IF($AQ$8=PROJSTATMEASURE,FALSE,TRUE)</formula>
    </cfRule>
  </conditionalFormatting>
  <dataValidations count="4">
    <dataValidation type="custom" allowBlank="1" showInputMessage="1" showErrorMessage="1" error="Please enter a valid email address." sqref="AH19:AM19 AH28:AM29 AH37:AM37 AH46:AM46 AH55:AM55 AH64:AM64" xr:uid="{58E1522C-6E98-44E7-84DB-EAE3E0B2FE66}">
      <formula1>AND(FIND(".",AH19),FIND("@",AH19))</formula1>
    </dataValidation>
    <dataValidation type="textLength" allowBlank="1" showInputMessage="1" showErrorMessage="1" error="Please enter a valid phone number. Example: (111) 111-1111" sqref="AA19:AF19 AA28:AF29 AA37:AF37 AA46:AF46 AA55:AF55 AA64:AF64" xr:uid="{8DC35C9E-5CA4-45C3-9B0F-25D649A4131A}">
      <formula1>7</formula1>
      <formula2>15</formula2>
    </dataValidation>
    <dataValidation type="whole" allowBlank="1" showInputMessage="1" showErrorMessage="1" sqref="AH61:AM61 AH25:AM25 AH34:AM34 AH43:AM43 AH52:AM52" xr:uid="{C7F60C8D-0B4C-4909-AD64-B9A30E295007}">
      <formula1>0</formula1>
      <formula2>99999</formula2>
    </dataValidation>
    <dataValidation type="list" allowBlank="1" showInputMessage="1" showErrorMessage="1" sqref="AA16:AF16 AA25:AF25 AA34:AF34 AA43:AF43 AA52:AF52 AA61:AF61" xr:uid="{FA6943F7-3DE9-425B-B2F1-83E7F3F987AF}">
      <formula1>STATESABBREV</formula1>
    </dataValidation>
  </dataValidations>
  <hyperlinks>
    <hyperlink ref="B202" r:id="rId1" display="businessrebates@evergy.com" xr:uid="{68FAE054-9E9D-4BF6-B0E8-84A50C8915AE}"/>
  </hyperlinks>
  <printOptions horizontalCentered="1"/>
  <pageMargins left="0" right="0" top="0" bottom="0" header="0" footer="0"/>
  <pageSetup scale="4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AE7D2-45A5-4764-A32E-12B731320DAB}">
  <sheetPr codeName="Sheet70">
    <tabColor theme="9" tint="0.59999389629810485"/>
    <pageSetUpPr fitToPage="1"/>
  </sheetPr>
  <dimension ref="A1:AW202"/>
  <sheetViews>
    <sheetView showGridLines="0" showRowColHeaders="0" zoomScale="85" zoomScaleNormal="85" workbookViewId="0">
      <selection activeCell="F15" sqref="F15:K15"/>
    </sheetView>
  </sheetViews>
  <sheetFormatPr defaultColWidth="0" defaultRowHeight="15.95" customHeight="1" zeroHeight="1"/>
  <cols>
    <col min="1" max="49" width="4.7109375" customWidth="1"/>
    <col min="50" max="16384" width="4.710937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B4" s="199"/>
      <c r="C4" s="199"/>
      <c r="D4" s="199"/>
      <c r="E4" s="199"/>
    </row>
    <row r="5" spans="1:49" ht="15.95" customHeight="1">
      <c r="A5" s="667">
        <f>INCENTOTAL_N</f>
        <v>0</v>
      </c>
      <c r="B5" s="667"/>
      <c r="C5" s="667"/>
      <c r="D5" s="667"/>
      <c r="E5" s="667"/>
      <c r="AQ5" s="668">
        <f ca="1">PROGRESSSTATUS_N</f>
        <v>0</v>
      </c>
      <c r="AR5" s="668"/>
      <c r="AS5" s="668"/>
      <c r="AT5" s="668"/>
      <c r="AU5" s="668"/>
      <c r="AV5" s="557"/>
      <c r="AW5" s="557"/>
    </row>
    <row r="6" spans="1:49" ht="15.95" customHeight="1">
      <c r="A6" s="667"/>
      <c r="B6" s="667"/>
      <c r="C6" s="667"/>
      <c r="D6" s="667"/>
      <c r="E6" s="667"/>
      <c r="AQ6" s="668"/>
      <c r="AR6" s="668"/>
      <c r="AS6" s="668"/>
      <c r="AT6" s="668"/>
      <c r="AU6" s="668"/>
      <c r="AV6" s="557"/>
      <c r="AW6" s="557"/>
    </row>
    <row r="7" spans="1:49" ht="15.95" customHeight="1">
      <c r="A7" s="665" t="s">
        <v>20</v>
      </c>
      <c r="B7" s="665"/>
      <c r="C7" s="665"/>
      <c r="D7" s="665"/>
      <c r="E7" s="665"/>
      <c r="AQ7" s="665" t="s">
        <v>179</v>
      </c>
      <c r="AR7" s="665"/>
      <c r="AS7" s="665"/>
      <c r="AT7" s="665"/>
      <c r="AU7" s="665"/>
      <c r="AV7" s="556"/>
      <c r="AW7" s="556"/>
    </row>
    <row r="8" spans="1:49" ht="15.95" customHeight="1" thickBot="1">
      <c r="A8" s="665"/>
      <c r="B8" s="665"/>
      <c r="C8" s="665"/>
      <c r="D8" s="665"/>
      <c r="E8" s="665"/>
      <c r="AQ8" s="674" t="str">
        <f ca="1">PROJSTATUS_N</f>
        <v>Enter Measures</v>
      </c>
      <c r="AR8" s="674"/>
      <c r="AS8" s="674"/>
      <c r="AT8" s="674"/>
      <c r="AU8" s="674"/>
      <c r="AV8" s="558"/>
      <c r="AW8" s="558"/>
    </row>
    <row r="9" spans="1:49" s="79" customFormat="1" ht="15.95" customHeight="1">
      <c r="A9" s="636" t="str">
        <f>N2S3</f>
        <v>Customer &amp; Building Information</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s="79" customFormat="1"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49" ht="15.95" customHeight="1">
      <c r="F11" s="711" t="s">
        <v>1507</v>
      </c>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1"/>
      <c r="AN11" s="711"/>
      <c r="AO11" s="711"/>
    </row>
    <row r="12" spans="1:49" ht="15.95" customHeight="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1"/>
      <c r="AJ12" s="711"/>
      <c r="AK12" s="711"/>
      <c r="AL12" s="711"/>
      <c r="AM12" s="711"/>
      <c r="AN12" s="711"/>
      <c r="AO12" s="711"/>
    </row>
    <row r="13" spans="1:49" ht="15.95" customHeight="1">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row>
    <row r="14" spans="1:49" ht="15.95" customHeight="1" thickBot="1">
      <c r="F14" s="639" t="s">
        <v>880</v>
      </c>
      <c r="G14" s="639"/>
      <c r="H14" s="639"/>
      <c r="I14" s="639"/>
      <c r="J14" s="639"/>
      <c r="K14" s="639"/>
      <c r="L14" s="83"/>
      <c r="M14" s="639" t="s">
        <v>881</v>
      </c>
      <c r="N14" s="639"/>
      <c r="O14" s="639"/>
      <c r="P14" s="639"/>
      <c r="Q14" s="639"/>
      <c r="R14" s="639"/>
      <c r="S14" s="85"/>
      <c r="T14" s="639" t="s">
        <v>873</v>
      </c>
      <c r="U14" s="639"/>
      <c r="V14" s="639"/>
      <c r="W14" s="639"/>
      <c r="X14" s="639"/>
      <c r="Y14" s="639"/>
      <c r="Z14" s="85"/>
      <c r="AA14" s="639" t="s">
        <v>2375</v>
      </c>
      <c r="AB14" s="639"/>
      <c r="AC14" s="639"/>
      <c r="AD14" s="639"/>
      <c r="AE14" s="639"/>
      <c r="AF14" s="639"/>
      <c r="AG14" s="85"/>
      <c r="AH14" s="639" t="s">
        <v>2376</v>
      </c>
      <c r="AI14" s="639"/>
      <c r="AJ14" s="639"/>
      <c r="AK14" s="639"/>
      <c r="AL14" s="639"/>
      <c r="AM14" s="639"/>
    </row>
    <row r="15" spans="1:49" ht="15.95" customHeight="1" thickBot="1">
      <c r="F15" s="640"/>
      <c r="G15" s="641"/>
      <c r="H15" s="641"/>
      <c r="I15" s="641"/>
      <c r="J15" s="641"/>
      <c r="K15" s="642"/>
      <c r="L15" s="89"/>
      <c r="M15" s="640"/>
      <c r="N15" s="641"/>
      <c r="O15" s="641"/>
      <c r="P15" s="641"/>
      <c r="Q15" s="641"/>
      <c r="R15" s="642"/>
      <c r="S15" s="89"/>
      <c r="T15" s="640"/>
      <c r="U15" s="641"/>
      <c r="V15" s="641"/>
      <c r="W15" s="641"/>
      <c r="X15" s="641"/>
      <c r="Y15" s="642"/>
      <c r="Z15" s="89"/>
      <c r="AA15" s="640"/>
      <c r="AB15" s="641"/>
      <c r="AC15" s="641"/>
      <c r="AD15" s="641"/>
      <c r="AE15" s="641"/>
      <c r="AF15" s="642"/>
      <c r="AG15" s="89"/>
      <c r="AH15" s="713"/>
      <c r="AI15" s="714"/>
      <c r="AJ15" s="714"/>
      <c r="AK15" s="714"/>
      <c r="AL15" s="714"/>
      <c r="AM15" s="715"/>
    </row>
    <row r="16" spans="1:49" ht="15.95" customHeight="1">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row>
    <row r="17" spans="1:49" ht="15.95" customHeight="1" thickBot="1">
      <c r="F17" s="639" t="s">
        <v>875</v>
      </c>
      <c r="G17" s="639"/>
      <c r="H17" s="639"/>
      <c r="I17" s="639"/>
      <c r="J17" s="639"/>
      <c r="K17" s="639"/>
      <c r="L17" s="85"/>
      <c r="M17" s="639" t="s">
        <v>876</v>
      </c>
      <c r="N17" s="639"/>
      <c r="O17" s="639"/>
      <c r="P17" s="639"/>
      <c r="Q17" s="639"/>
      <c r="R17" s="639"/>
      <c r="S17" s="85"/>
      <c r="T17" s="639" t="s">
        <v>877</v>
      </c>
      <c r="U17" s="639"/>
      <c r="V17" s="639"/>
      <c r="W17" s="639"/>
      <c r="X17" s="639"/>
      <c r="Y17" s="639"/>
      <c r="Z17" s="85"/>
      <c r="AA17" s="639" t="s">
        <v>878</v>
      </c>
      <c r="AB17" s="639"/>
      <c r="AC17" s="639"/>
      <c r="AD17" s="639"/>
      <c r="AE17" s="639"/>
      <c r="AF17" s="639"/>
      <c r="AG17" s="83"/>
      <c r="AH17" s="639" t="s">
        <v>879</v>
      </c>
      <c r="AI17" s="639"/>
      <c r="AJ17" s="639"/>
      <c r="AK17" s="639"/>
      <c r="AL17" s="639"/>
      <c r="AM17" s="639"/>
    </row>
    <row r="18" spans="1:49" ht="15.95" customHeight="1" thickBot="1">
      <c r="F18" s="640"/>
      <c r="G18" s="641"/>
      <c r="H18" s="641"/>
      <c r="I18" s="641"/>
      <c r="J18" s="641"/>
      <c r="K18" s="642"/>
      <c r="L18" s="89"/>
      <c r="M18" s="640"/>
      <c r="N18" s="641"/>
      <c r="O18" s="641"/>
      <c r="P18" s="641"/>
      <c r="Q18" s="641"/>
      <c r="R18" s="642"/>
      <c r="S18" s="89"/>
      <c r="T18" s="640"/>
      <c r="U18" s="641"/>
      <c r="V18" s="641"/>
      <c r="W18" s="641"/>
      <c r="X18" s="641"/>
      <c r="Y18" s="642"/>
      <c r="Z18" s="89"/>
      <c r="AA18" s="669"/>
      <c r="AB18" s="670"/>
      <c r="AC18" s="670"/>
      <c r="AD18" s="670"/>
      <c r="AE18" s="670"/>
      <c r="AF18" s="671"/>
      <c r="AG18" s="89"/>
      <c r="AH18" s="672"/>
      <c r="AI18" s="641"/>
      <c r="AJ18" s="641"/>
      <c r="AK18" s="641"/>
      <c r="AL18" s="641"/>
      <c r="AM18" s="642"/>
    </row>
    <row r="19" spans="1:49" ht="15.95" customHeight="1"/>
    <row r="20" spans="1:49" ht="15.95" customHeight="1"/>
    <row r="21" spans="1:49" ht="15.95" customHeight="1" thickBot="1">
      <c r="I21" s="639" t="s">
        <v>1180</v>
      </c>
      <c r="J21" s="639"/>
      <c r="K21" s="639"/>
      <c r="L21" s="639"/>
      <c r="M21" s="639"/>
      <c r="N21" s="639"/>
      <c r="O21" s="83"/>
      <c r="P21" s="639" t="s">
        <v>779</v>
      </c>
      <c r="Q21" s="639"/>
      <c r="R21" s="639"/>
      <c r="S21" s="639"/>
      <c r="T21" s="639"/>
      <c r="U21" s="639"/>
      <c r="V21" s="83"/>
      <c r="W21" s="639" t="s">
        <v>883</v>
      </c>
      <c r="X21" s="639"/>
      <c r="Y21" s="639"/>
      <c r="Z21" s="639"/>
      <c r="AA21" s="639"/>
      <c r="AB21" s="639"/>
      <c r="AC21" s="83"/>
      <c r="AD21" s="639" t="s">
        <v>884</v>
      </c>
      <c r="AE21" s="639"/>
      <c r="AF21" s="639"/>
      <c r="AG21" s="639"/>
      <c r="AH21" s="639"/>
      <c r="AI21" s="639"/>
    </row>
    <row r="22" spans="1:49" ht="15.95" customHeight="1" thickBot="1">
      <c r="B22" s="83"/>
      <c r="C22" s="83"/>
      <c r="D22" s="83"/>
      <c r="E22" s="83"/>
      <c r="F22" s="83"/>
      <c r="G22" s="83"/>
      <c r="H22" s="83"/>
      <c r="I22" s="640"/>
      <c r="J22" s="641"/>
      <c r="K22" s="641"/>
      <c r="L22" s="641"/>
      <c r="M22" s="641"/>
      <c r="N22" s="642"/>
      <c r="O22" s="83"/>
      <c r="P22" s="640"/>
      <c r="Q22" s="641"/>
      <c r="R22" s="641"/>
      <c r="S22" s="641"/>
      <c r="T22" s="641"/>
      <c r="U22" s="642"/>
      <c r="V22" s="83"/>
      <c r="W22" s="640"/>
      <c r="X22" s="641"/>
      <c r="Y22" s="641"/>
      <c r="Z22" s="641"/>
      <c r="AA22" s="641"/>
      <c r="AB22" s="642"/>
      <c r="AC22" s="83"/>
      <c r="AD22" s="705" t="str">
        <f>IF(N02S03F13="","",INDEX(RATECLASS[Rate],MATCH(N02S03F13,RATECLASS[Rate Schedules],0)))</f>
        <v/>
      </c>
      <c r="AE22" s="706"/>
      <c r="AF22" s="706"/>
      <c r="AG22" s="706"/>
      <c r="AH22" s="706"/>
      <c r="AI22" s="707"/>
      <c r="AK22" s="83"/>
      <c r="AL22" s="83"/>
      <c r="AM22" s="83"/>
      <c r="AN22" s="83"/>
      <c r="AO22" s="83"/>
      <c r="AP22" s="83"/>
      <c r="AQ22" s="83"/>
      <c r="AR22" s="83"/>
      <c r="AS22" s="83"/>
      <c r="AT22" s="83"/>
      <c r="AU22" s="83"/>
      <c r="AV22" s="83"/>
      <c r="AW22" s="83"/>
    </row>
    <row r="23" spans="1:49" ht="15.95" customHeight="1">
      <c r="B23" s="83"/>
      <c r="C23" s="83"/>
      <c r="D23" s="83"/>
      <c r="E23" s="83"/>
      <c r="F23" s="83"/>
      <c r="G23" s="83"/>
      <c r="H23" s="83"/>
      <c r="I23" s="83"/>
      <c r="AK23" s="83"/>
      <c r="AL23" s="83"/>
      <c r="AM23" s="83"/>
      <c r="AN23" s="83"/>
      <c r="AO23" s="83"/>
      <c r="AP23" s="83"/>
      <c r="AQ23" s="83"/>
      <c r="AR23" s="83"/>
      <c r="AS23" s="83"/>
      <c r="AT23" s="83"/>
      <c r="AU23" s="83"/>
      <c r="AV23" s="83"/>
      <c r="AW23" s="83"/>
    </row>
    <row r="24" spans="1:49" ht="15.95" customHeight="1" thickBot="1">
      <c r="B24" s="83"/>
      <c r="C24" s="83"/>
      <c r="D24" s="83"/>
      <c r="E24" s="83"/>
      <c r="F24" s="677" t="s">
        <v>885</v>
      </c>
      <c r="G24" s="677"/>
      <c r="H24" s="677"/>
      <c r="I24" s="677"/>
      <c r="J24" s="677"/>
      <c r="K24" s="677"/>
      <c r="L24" s="194"/>
      <c r="M24" s="677" t="s">
        <v>886</v>
      </c>
      <c r="N24" s="677"/>
      <c r="O24" s="677"/>
      <c r="P24" s="677"/>
      <c r="Q24" s="677"/>
      <c r="R24" s="677"/>
      <c r="S24" s="194"/>
      <c r="T24" s="677" t="s">
        <v>873</v>
      </c>
      <c r="U24" s="677"/>
      <c r="V24" s="677"/>
      <c r="W24" s="677"/>
      <c r="X24" s="677"/>
      <c r="Y24" s="677"/>
      <c r="Z24" s="194"/>
      <c r="AA24" s="677" t="s">
        <v>9</v>
      </c>
      <c r="AB24" s="677"/>
      <c r="AC24" s="677"/>
      <c r="AD24" s="677"/>
      <c r="AE24" s="677"/>
      <c r="AF24" s="677"/>
      <c r="AG24" s="194"/>
      <c r="AH24" s="677" t="s">
        <v>874</v>
      </c>
      <c r="AI24" s="677"/>
      <c r="AJ24" s="677"/>
      <c r="AK24" s="677"/>
      <c r="AL24" s="677"/>
      <c r="AM24" s="677"/>
      <c r="AN24" s="83"/>
      <c r="AO24" s="676" t="str">
        <f>IF(N02S03F17="Kansas City", "Local code is IECC 2021. Not eligible for New Construction Incentives","")</f>
        <v/>
      </c>
      <c r="AP24" s="676"/>
      <c r="AQ24" s="676"/>
      <c r="AR24" s="676"/>
      <c r="AS24" s="676"/>
      <c r="AT24" s="676"/>
      <c r="AU24" s="676"/>
      <c r="AV24" s="676"/>
      <c r="AW24" s="83"/>
    </row>
    <row r="25" spans="1:49" ht="15.95" customHeight="1" thickBot="1">
      <c r="B25" s="83"/>
      <c r="C25" s="83"/>
      <c r="D25" s="83"/>
      <c r="E25" s="83"/>
      <c r="F25" s="699"/>
      <c r="G25" s="700"/>
      <c r="H25" s="700"/>
      <c r="I25" s="700"/>
      <c r="J25" s="700"/>
      <c r="K25" s="701"/>
      <c r="L25" s="193"/>
      <c r="M25" s="699"/>
      <c r="N25" s="700"/>
      <c r="O25" s="700"/>
      <c r="P25" s="700"/>
      <c r="Q25" s="700"/>
      <c r="R25" s="701"/>
      <c r="S25" s="193"/>
      <c r="T25" s="699"/>
      <c r="U25" s="700"/>
      <c r="V25" s="700"/>
      <c r="W25" s="700"/>
      <c r="X25" s="700"/>
      <c r="Y25" s="701"/>
      <c r="Z25" s="193"/>
      <c r="AA25" s="702" t="s">
        <v>157</v>
      </c>
      <c r="AB25" s="703"/>
      <c r="AC25" s="703"/>
      <c r="AD25" s="703"/>
      <c r="AE25" s="703"/>
      <c r="AF25" s="704"/>
      <c r="AG25" s="193"/>
      <c r="AH25" s="699"/>
      <c r="AI25" s="700"/>
      <c r="AJ25" s="700"/>
      <c r="AK25" s="700"/>
      <c r="AL25" s="700"/>
      <c r="AM25" s="701"/>
      <c r="AN25" s="83"/>
      <c r="AO25" s="676"/>
      <c r="AP25" s="676"/>
      <c r="AQ25" s="676"/>
      <c r="AR25" s="676"/>
      <c r="AS25" s="676"/>
      <c r="AT25" s="676"/>
      <c r="AU25" s="676"/>
      <c r="AV25" s="676"/>
      <c r="AW25" s="83"/>
    </row>
    <row r="26" spans="1:49" ht="15.95" customHeight="1" thickBot="1">
      <c r="B26" s="83"/>
      <c r="C26" s="83"/>
      <c r="D26" s="83"/>
      <c r="E26" s="83"/>
      <c r="F26" s="83"/>
      <c r="G26" s="83"/>
      <c r="H26" s="83"/>
      <c r="AJ26" s="83"/>
      <c r="AK26" s="83"/>
      <c r="AL26" s="83"/>
      <c r="AM26" s="83"/>
      <c r="AN26" s="83"/>
      <c r="AO26" s="676"/>
      <c r="AP26" s="676"/>
      <c r="AQ26" s="676"/>
      <c r="AR26" s="676"/>
      <c r="AS26" s="676"/>
      <c r="AT26" s="676"/>
      <c r="AU26" s="676"/>
      <c r="AV26" s="676"/>
      <c r="AW26" s="83"/>
    </row>
    <row r="27" spans="1:49" ht="15.95" customHeight="1" thickBot="1">
      <c r="B27" s="83"/>
      <c r="C27" s="85"/>
      <c r="D27" s="85"/>
      <c r="E27" s="85"/>
      <c r="Q27" s="452" t="s">
        <v>2072</v>
      </c>
      <c r="R27" s="70"/>
      <c r="S27" s="70"/>
      <c r="T27" s="70"/>
      <c r="U27" s="70"/>
      <c r="V27" s="690"/>
      <c r="W27" s="691"/>
      <c r="X27" s="691"/>
      <c r="Y27" s="691"/>
      <c r="Z27" s="691"/>
      <c r="AA27" s="691"/>
      <c r="AB27" s="692"/>
      <c r="AC27" s="453"/>
      <c r="AM27" s="83"/>
      <c r="AN27" s="83"/>
      <c r="AO27" s="676"/>
      <c r="AP27" s="676"/>
      <c r="AQ27" s="676"/>
      <c r="AR27" s="676"/>
      <c r="AS27" s="676"/>
      <c r="AT27" s="676"/>
      <c r="AU27" s="676"/>
      <c r="AV27" s="676"/>
      <c r="AW27" s="83"/>
    </row>
    <row r="28" spans="1:49" ht="15.95" customHeight="1">
      <c r="B28" s="83"/>
      <c r="C28" s="83"/>
      <c r="D28" s="83"/>
      <c r="E28" s="83"/>
      <c r="AN28" s="83"/>
      <c r="AO28" s="676"/>
      <c r="AP28" s="676"/>
      <c r="AQ28" s="676"/>
      <c r="AR28" s="676"/>
      <c r="AS28" s="676"/>
      <c r="AT28" s="676"/>
      <c r="AU28" s="676"/>
      <c r="AV28" s="676"/>
      <c r="AW28" s="83"/>
    </row>
    <row r="29" spans="1:49" ht="15.95" customHeight="1" thickBot="1">
      <c r="B29" s="83"/>
      <c r="C29" s="83"/>
      <c r="D29" s="83"/>
      <c r="E29" s="83"/>
      <c r="F29" s="677" t="s">
        <v>875</v>
      </c>
      <c r="G29" s="677"/>
      <c r="H29" s="677"/>
      <c r="I29" s="677"/>
      <c r="J29" s="677"/>
      <c r="K29" s="677"/>
      <c r="L29" s="193"/>
      <c r="M29" s="677" t="s">
        <v>876</v>
      </c>
      <c r="N29" s="677"/>
      <c r="O29" s="677"/>
      <c r="P29" s="677"/>
      <c r="Q29" s="677"/>
      <c r="R29" s="677"/>
      <c r="S29" s="193"/>
      <c r="T29" s="677" t="s">
        <v>877</v>
      </c>
      <c r="U29" s="677"/>
      <c r="V29" s="677"/>
      <c r="W29" s="677"/>
      <c r="X29" s="677"/>
      <c r="Y29" s="677"/>
      <c r="Z29" s="193"/>
      <c r="AA29" s="677" t="s">
        <v>878</v>
      </c>
      <c r="AB29" s="677"/>
      <c r="AC29" s="677"/>
      <c r="AD29" s="677"/>
      <c r="AE29" s="677"/>
      <c r="AF29" s="677"/>
      <c r="AG29" s="193"/>
      <c r="AH29" s="677" t="s">
        <v>879</v>
      </c>
      <c r="AI29" s="677"/>
      <c r="AJ29" s="677"/>
      <c r="AK29" s="677"/>
      <c r="AL29" s="677"/>
      <c r="AM29" s="677"/>
      <c r="AN29" s="83"/>
      <c r="AO29" s="83"/>
      <c r="AP29" s="83"/>
      <c r="AQ29" s="83"/>
      <c r="AR29" s="83"/>
      <c r="AS29" s="83"/>
      <c r="AT29" s="83"/>
      <c r="AU29" s="83"/>
      <c r="AV29" s="83"/>
      <c r="AW29" s="83"/>
    </row>
    <row r="30" spans="1:49" ht="15.95" customHeight="1" thickBot="1">
      <c r="B30" s="83"/>
      <c r="C30" s="83"/>
      <c r="D30" s="83"/>
      <c r="E30" s="83"/>
      <c r="F30" s="693" t="str">
        <f>IF(N02S03F20="the Company Contact", N02S03F06, IF(N02S03F20="the Trade Ally / Contractor Contact", N02S02F06,""))</f>
        <v/>
      </c>
      <c r="G30" s="694"/>
      <c r="H30" s="694"/>
      <c r="I30" s="694"/>
      <c r="J30" s="694"/>
      <c r="K30" s="695"/>
      <c r="L30" s="193"/>
      <c r="M30" s="693" t="str">
        <f>IF(N02S03F20="the Company Contact", N02S03F07, IF(N02S03F20="the Trade Ally / Contractor Contact", N02S02F07,""))</f>
        <v/>
      </c>
      <c r="N30" s="694"/>
      <c r="O30" s="694"/>
      <c r="P30" s="694"/>
      <c r="Q30" s="694"/>
      <c r="R30" s="695"/>
      <c r="S30" s="193"/>
      <c r="T30" s="693" t="str">
        <f>IF(N02S03F20="the Company Contact", N02S03F08, IF(N02S03F20="the Trade Ally / Contractor Contact", N02S02F08,""))</f>
        <v/>
      </c>
      <c r="U30" s="694"/>
      <c r="V30" s="694"/>
      <c r="W30" s="694"/>
      <c r="X30" s="694"/>
      <c r="Y30" s="695"/>
      <c r="Z30" s="193"/>
      <c r="AA30" s="696" t="str">
        <f>IF(N02S03F20="the Company Contact", N02S03F09, IF(N02S03F20="the Trade Ally / Contractor Contact", N02S02F09,""))</f>
        <v/>
      </c>
      <c r="AB30" s="697"/>
      <c r="AC30" s="697"/>
      <c r="AD30" s="697"/>
      <c r="AE30" s="697"/>
      <c r="AF30" s="698"/>
      <c r="AG30" s="193"/>
      <c r="AH30" s="687" t="str">
        <f>IF(N02S03F20="the Company Contact", N02S03F10, IF(N02S03F20="the Trade Ally / Contractor Contact", N02S02F10,""))</f>
        <v/>
      </c>
      <c r="AI30" s="688"/>
      <c r="AJ30" s="688"/>
      <c r="AK30" s="688"/>
      <c r="AL30" s="688"/>
      <c r="AM30" s="689"/>
      <c r="AN30" s="83"/>
      <c r="AO30" s="83"/>
      <c r="AP30" s="83"/>
      <c r="AQ30" s="83"/>
      <c r="AR30" s="83"/>
      <c r="AS30" s="83"/>
      <c r="AT30" s="83"/>
      <c r="AU30" s="83"/>
      <c r="AV30" s="83"/>
      <c r="AW30" s="83"/>
    </row>
    <row r="31" spans="1:49" ht="15.95" customHeight="1">
      <c r="B31" s="83"/>
      <c r="C31" s="83"/>
      <c r="D31" s="83"/>
      <c r="E31" s="83"/>
      <c r="AN31" s="83"/>
      <c r="AO31" s="83"/>
      <c r="AP31" s="83"/>
      <c r="AQ31" s="83"/>
      <c r="AR31" s="83"/>
      <c r="AS31" s="83"/>
      <c r="AT31" s="83"/>
      <c r="AU31" s="83"/>
      <c r="AV31" s="83"/>
      <c r="AW31" s="83"/>
    </row>
    <row r="32" spans="1:49" ht="15.95" customHeight="1">
      <c r="A32" s="637" t="s">
        <v>191</v>
      </c>
      <c r="B32" s="637"/>
      <c r="C32" s="637"/>
      <c r="D32" s="637"/>
      <c r="E32" s="637"/>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7"/>
      <c r="AI32" s="637"/>
      <c r="AJ32" s="637"/>
      <c r="AK32" s="637"/>
      <c r="AL32" s="637"/>
      <c r="AM32" s="637"/>
      <c r="AN32" s="637"/>
      <c r="AO32" s="637"/>
      <c r="AP32" s="637"/>
      <c r="AQ32" s="637"/>
      <c r="AR32" s="637"/>
      <c r="AS32" s="637"/>
      <c r="AT32" s="637"/>
      <c r="AU32" s="637"/>
      <c r="AV32" s="637"/>
      <c r="AW32" s="637"/>
    </row>
    <row r="33" spans="1:49" ht="15.95" customHeight="1">
      <c r="A33" s="637"/>
      <c r="B33" s="637"/>
      <c r="C33" s="637"/>
      <c r="D33" s="637"/>
      <c r="E33" s="637"/>
      <c r="F33" s="637"/>
      <c r="G33" s="637"/>
      <c r="H33" s="637"/>
      <c r="I33" s="637"/>
      <c r="J33" s="637"/>
      <c r="K33" s="637"/>
      <c r="L33" s="637"/>
      <c r="M33" s="637"/>
      <c r="N33" s="637"/>
      <c r="O33" s="637"/>
      <c r="P33" s="637"/>
      <c r="Q33" s="637"/>
      <c r="R33" s="637"/>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7"/>
      <c r="AP33" s="637"/>
      <c r="AQ33" s="637"/>
      <c r="AR33" s="637"/>
      <c r="AS33" s="637"/>
      <c r="AT33" s="637"/>
      <c r="AU33" s="637"/>
      <c r="AV33" s="637"/>
      <c r="AW33" s="637"/>
    </row>
    <row r="34" spans="1:49" ht="15.95" customHeight="1">
      <c r="A34" s="70"/>
      <c r="B34" s="193"/>
      <c r="C34" s="193"/>
      <c r="D34" s="193"/>
      <c r="E34" s="193"/>
      <c r="AN34" s="83"/>
      <c r="AO34" s="83"/>
      <c r="AP34" s="83"/>
      <c r="AQ34" s="83"/>
      <c r="AR34" s="83"/>
      <c r="AS34" s="83"/>
      <c r="AT34" s="83"/>
      <c r="AU34" s="83"/>
      <c r="AV34" s="83"/>
      <c r="AW34" s="83"/>
    </row>
    <row r="35" spans="1:49" ht="15.95" customHeight="1" thickBot="1">
      <c r="B35" s="83"/>
      <c r="C35" s="83"/>
      <c r="D35" s="83"/>
      <c r="E35" s="83"/>
      <c r="F35" s="639" t="s">
        <v>888</v>
      </c>
      <c r="G35" s="639"/>
      <c r="H35" s="639"/>
      <c r="I35" s="639"/>
      <c r="J35" s="639"/>
      <c r="K35" s="639"/>
      <c r="M35" s="639" t="s">
        <v>1348</v>
      </c>
      <c r="N35" s="639"/>
      <c r="O35" s="639"/>
      <c r="P35" s="639"/>
      <c r="Q35" s="639"/>
      <c r="R35" s="639"/>
      <c r="T35" s="639" t="s">
        <v>890</v>
      </c>
      <c r="U35" s="639"/>
      <c r="V35" s="639"/>
      <c r="W35" s="639"/>
      <c r="X35" s="639"/>
      <c r="Y35" s="639"/>
      <c r="AA35" s="639" t="s">
        <v>892</v>
      </c>
      <c r="AB35" s="639"/>
      <c r="AC35" s="639"/>
      <c r="AD35" s="639"/>
      <c r="AE35" s="639"/>
      <c r="AF35" s="639"/>
      <c r="AG35" s="83"/>
      <c r="AH35" s="85" t="s">
        <v>889</v>
      </c>
      <c r="AN35" s="83"/>
      <c r="AO35" s="83"/>
      <c r="AP35" s="83"/>
      <c r="AQ35" s="83"/>
      <c r="AR35" s="83"/>
      <c r="AS35" s="83"/>
      <c r="AT35" s="83"/>
      <c r="AU35" s="83"/>
      <c r="AV35" s="83"/>
      <c r="AW35" s="83"/>
    </row>
    <row r="36" spans="1:49" ht="15.95" customHeight="1" thickBot="1">
      <c r="F36" s="640"/>
      <c r="G36" s="641"/>
      <c r="H36" s="641"/>
      <c r="I36" s="641"/>
      <c r="J36" s="641"/>
      <c r="K36" s="642"/>
      <c r="M36" s="640"/>
      <c r="N36" s="641"/>
      <c r="O36" s="641"/>
      <c r="P36" s="641"/>
      <c r="Q36" s="641"/>
      <c r="R36" s="642"/>
      <c r="T36" s="708"/>
      <c r="U36" s="709"/>
      <c r="V36" s="709"/>
      <c r="W36" s="709"/>
      <c r="X36" s="709"/>
      <c r="Y36" s="710"/>
      <c r="AA36" s="640"/>
      <c r="AB36" s="641"/>
      <c r="AC36" s="641"/>
      <c r="AD36" s="641"/>
      <c r="AE36" s="641"/>
      <c r="AF36" s="642"/>
      <c r="AH36" s="716"/>
      <c r="AI36" s="717"/>
      <c r="AJ36" s="717"/>
      <c r="AK36" s="717"/>
      <c r="AL36" s="717"/>
      <c r="AM36" s="718"/>
    </row>
    <row r="37" spans="1:49" ht="15.95" customHeight="1"/>
    <row r="38" spans="1:49" ht="15.95" customHeight="1" thickBot="1">
      <c r="F38" s="639" t="s">
        <v>891</v>
      </c>
      <c r="G38" s="639"/>
      <c r="H38" s="639"/>
      <c r="I38" s="639"/>
      <c r="J38" s="639"/>
      <c r="K38" s="639"/>
      <c r="M38" s="84" t="s">
        <v>1506</v>
      </c>
      <c r="N38" s="84"/>
      <c r="O38" s="84"/>
      <c r="P38" s="84"/>
      <c r="Q38" s="84"/>
      <c r="R38" s="84"/>
      <c r="T38" s="84" t="s">
        <v>1485</v>
      </c>
      <c r="U38" s="84"/>
      <c r="V38" s="84"/>
      <c r="W38" s="84"/>
      <c r="X38" s="84"/>
      <c r="Y38" s="84"/>
      <c r="AA38" s="639" t="s">
        <v>1505</v>
      </c>
      <c r="AB38" s="639"/>
      <c r="AC38" s="639"/>
      <c r="AD38" s="639"/>
      <c r="AE38" s="639"/>
      <c r="AF38" s="639"/>
      <c r="AH38" s="712" t="str">
        <f>IF(N02S03F33="Change of Purpose","Existing Building Type*","Existing Building Type")</f>
        <v>Existing Building Type</v>
      </c>
      <c r="AI38" s="712"/>
      <c r="AJ38" s="712"/>
      <c r="AK38" s="712"/>
      <c r="AL38" s="712"/>
      <c r="AM38" s="712"/>
    </row>
    <row r="39" spans="1:49" ht="15.95" customHeight="1" thickBot="1">
      <c r="B39" s="83"/>
      <c r="C39" s="83"/>
      <c r="D39" s="83"/>
      <c r="E39" s="83"/>
      <c r="F39" s="708"/>
      <c r="G39" s="709"/>
      <c r="H39" s="709"/>
      <c r="I39" s="709"/>
      <c r="J39" s="709"/>
      <c r="K39" s="710"/>
      <c r="M39" s="640"/>
      <c r="N39" s="641"/>
      <c r="O39" s="641"/>
      <c r="P39" s="641"/>
      <c r="Q39" s="641"/>
      <c r="R39" s="642"/>
      <c r="T39" s="640"/>
      <c r="U39" s="641"/>
      <c r="V39" s="641"/>
      <c r="W39" s="641"/>
      <c r="X39" s="641"/>
      <c r="Y39" s="642"/>
      <c r="AA39" s="640"/>
      <c r="AB39" s="641"/>
      <c r="AC39" s="641"/>
      <c r="AD39" s="641"/>
      <c r="AE39" s="641"/>
      <c r="AF39" s="642"/>
      <c r="AH39" s="640"/>
      <c r="AI39" s="641"/>
      <c r="AJ39" s="641"/>
      <c r="AK39" s="641"/>
      <c r="AL39" s="641"/>
      <c r="AM39" s="642"/>
    </row>
    <row r="40" spans="1:49" ht="15.95" customHeight="1">
      <c r="B40" s="83"/>
      <c r="C40" s="83"/>
      <c r="D40" s="83"/>
      <c r="E40" s="83"/>
      <c r="AN40" s="83"/>
    </row>
    <row r="41" spans="1:49" ht="15.95" customHeight="1" thickBot="1">
      <c r="B41" s="83"/>
      <c r="C41" s="85"/>
      <c r="D41" s="85"/>
      <c r="E41" s="85"/>
      <c r="F41" s="84" t="s">
        <v>893</v>
      </c>
      <c r="G41" s="84"/>
      <c r="H41" s="84"/>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5"/>
      <c r="AO41" s="85"/>
      <c r="AP41" s="85"/>
      <c r="AQ41" s="85"/>
      <c r="AR41" s="83"/>
    </row>
    <row r="42" spans="1:49" ht="15.95" customHeight="1">
      <c r="B42" s="83"/>
      <c r="C42" s="85"/>
      <c r="D42" s="85"/>
      <c r="E42" s="85"/>
      <c r="F42" s="678"/>
      <c r="G42" s="679"/>
      <c r="H42" s="679"/>
      <c r="I42" s="679"/>
      <c r="J42" s="679"/>
      <c r="K42" s="679"/>
      <c r="L42" s="679"/>
      <c r="M42" s="679"/>
      <c r="N42" s="679"/>
      <c r="O42" s="679"/>
      <c r="P42" s="679"/>
      <c r="Q42" s="679"/>
      <c r="R42" s="679"/>
      <c r="S42" s="679"/>
      <c r="T42" s="679"/>
      <c r="U42" s="679"/>
      <c r="V42" s="679"/>
      <c r="W42" s="679"/>
      <c r="X42" s="679"/>
      <c r="Y42" s="679"/>
      <c r="Z42" s="679"/>
      <c r="AA42" s="679"/>
      <c r="AB42" s="679"/>
      <c r="AC42" s="679"/>
      <c r="AD42" s="679"/>
      <c r="AE42" s="679"/>
      <c r="AF42" s="679"/>
      <c r="AG42" s="679"/>
      <c r="AH42" s="679"/>
      <c r="AI42" s="679"/>
      <c r="AJ42" s="679"/>
      <c r="AK42" s="679"/>
      <c r="AL42" s="679"/>
      <c r="AM42" s="680"/>
    </row>
    <row r="43" spans="1:49" ht="15.95" customHeight="1">
      <c r="B43" s="83"/>
      <c r="C43" s="85"/>
      <c r="D43" s="85"/>
      <c r="E43" s="85"/>
      <c r="F43" s="681"/>
      <c r="G43" s="682"/>
      <c r="H43" s="682"/>
      <c r="I43" s="682"/>
      <c r="J43" s="682"/>
      <c r="K43" s="682"/>
      <c r="L43" s="682"/>
      <c r="M43" s="682"/>
      <c r="N43" s="682"/>
      <c r="O43" s="682"/>
      <c r="P43" s="682"/>
      <c r="Q43" s="682"/>
      <c r="R43" s="682"/>
      <c r="S43" s="682"/>
      <c r="T43" s="682"/>
      <c r="U43" s="682"/>
      <c r="V43" s="682"/>
      <c r="W43" s="682"/>
      <c r="X43" s="682"/>
      <c r="Y43" s="682"/>
      <c r="Z43" s="682"/>
      <c r="AA43" s="682"/>
      <c r="AB43" s="682"/>
      <c r="AC43" s="682"/>
      <c r="AD43" s="682"/>
      <c r="AE43" s="682"/>
      <c r="AF43" s="682"/>
      <c r="AG43" s="682"/>
      <c r="AH43" s="682"/>
      <c r="AI43" s="682"/>
      <c r="AJ43" s="682"/>
      <c r="AK43" s="682"/>
      <c r="AL43" s="682"/>
      <c r="AM43" s="683"/>
      <c r="AN43" s="85"/>
      <c r="AO43" s="85"/>
      <c r="AP43" s="85"/>
      <c r="AQ43" s="85"/>
      <c r="AR43" s="83"/>
    </row>
    <row r="44" spans="1:49" ht="15.95" customHeight="1">
      <c r="F44" s="681"/>
      <c r="G44" s="682"/>
      <c r="H44" s="682"/>
      <c r="I44" s="682"/>
      <c r="J44" s="682"/>
      <c r="K44" s="682"/>
      <c r="L44" s="682"/>
      <c r="M44" s="682"/>
      <c r="N44" s="682"/>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3"/>
      <c r="AN44" s="83"/>
      <c r="AO44" s="83"/>
      <c r="AP44" s="83"/>
      <c r="AQ44" s="83"/>
      <c r="AR44" s="83"/>
    </row>
    <row r="45" spans="1:49" ht="15.95" customHeight="1">
      <c r="F45" s="681"/>
      <c r="G45" s="682"/>
      <c r="H45" s="682"/>
      <c r="I45" s="682"/>
      <c r="J45" s="682"/>
      <c r="K45" s="682"/>
      <c r="L45" s="682"/>
      <c r="M45" s="682"/>
      <c r="N45" s="682"/>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2"/>
      <c r="AM45" s="683"/>
      <c r="AN45" s="83"/>
      <c r="AO45" s="83"/>
      <c r="AP45" s="83"/>
      <c r="AQ45" s="83"/>
      <c r="AR45" s="83"/>
    </row>
    <row r="46" spans="1:49" ht="15.95" customHeight="1">
      <c r="F46" s="681"/>
      <c r="G46" s="682"/>
      <c r="H46" s="682"/>
      <c r="I46" s="682"/>
      <c r="J46" s="682"/>
      <c r="K46" s="682"/>
      <c r="L46" s="682"/>
      <c r="M46" s="682"/>
      <c r="N46" s="682"/>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3"/>
      <c r="AN46" s="83"/>
      <c r="AO46" s="83"/>
      <c r="AP46" s="83"/>
      <c r="AQ46" s="83"/>
      <c r="AR46" s="83"/>
    </row>
    <row r="47" spans="1:49" ht="15.95" customHeight="1">
      <c r="F47" s="681"/>
      <c r="G47" s="682"/>
      <c r="H47" s="682"/>
      <c r="I47" s="682"/>
      <c r="J47" s="682"/>
      <c r="K47" s="682"/>
      <c r="L47" s="682"/>
      <c r="M47" s="682"/>
      <c r="N47" s="682"/>
      <c r="O47" s="682"/>
      <c r="P47" s="682"/>
      <c r="Q47" s="682"/>
      <c r="R47" s="682"/>
      <c r="S47" s="682"/>
      <c r="T47" s="682"/>
      <c r="U47" s="682"/>
      <c r="V47" s="682"/>
      <c r="W47" s="682"/>
      <c r="X47" s="682"/>
      <c r="Y47" s="682"/>
      <c r="Z47" s="682"/>
      <c r="AA47" s="682"/>
      <c r="AB47" s="682"/>
      <c r="AC47" s="682"/>
      <c r="AD47" s="682"/>
      <c r="AE47" s="682"/>
      <c r="AF47" s="682"/>
      <c r="AG47" s="682"/>
      <c r="AH47" s="682"/>
      <c r="AI47" s="682"/>
      <c r="AJ47" s="682"/>
      <c r="AK47" s="682"/>
      <c r="AL47" s="682"/>
      <c r="AM47" s="683"/>
      <c r="AN47" s="83"/>
      <c r="AO47" s="83"/>
      <c r="AP47" s="83"/>
      <c r="AQ47" s="83"/>
      <c r="AR47" s="83"/>
    </row>
    <row r="48" spans="1:49" ht="15.95" customHeight="1">
      <c r="B48" s="83"/>
      <c r="C48" s="83"/>
      <c r="D48" s="84"/>
      <c r="E48" s="84"/>
      <c r="F48" s="681"/>
      <c r="G48" s="682"/>
      <c r="H48" s="682"/>
      <c r="I48" s="682"/>
      <c r="J48" s="682"/>
      <c r="K48" s="682"/>
      <c r="L48" s="682"/>
      <c r="M48" s="682"/>
      <c r="N48" s="682"/>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3"/>
      <c r="AN48" s="83"/>
      <c r="AO48" s="83"/>
      <c r="AP48" s="83"/>
      <c r="AQ48" s="83"/>
      <c r="AR48" s="83"/>
    </row>
    <row r="49" spans="2:44" ht="15.95" customHeight="1" thickBot="1">
      <c r="B49" s="83"/>
      <c r="C49" s="83"/>
      <c r="D49" s="84"/>
      <c r="E49" s="84"/>
      <c r="F49" s="684"/>
      <c r="G49" s="685"/>
      <c r="H49" s="685"/>
      <c r="I49" s="685"/>
      <c r="J49" s="685"/>
      <c r="K49" s="685"/>
      <c r="L49" s="685"/>
      <c r="M49" s="685"/>
      <c r="N49" s="685"/>
      <c r="O49" s="685"/>
      <c r="P49" s="685"/>
      <c r="Q49" s="685"/>
      <c r="R49" s="685"/>
      <c r="S49" s="685"/>
      <c r="T49" s="685"/>
      <c r="U49" s="685"/>
      <c r="V49" s="685"/>
      <c r="W49" s="685"/>
      <c r="X49" s="685"/>
      <c r="Y49" s="685"/>
      <c r="Z49" s="685"/>
      <c r="AA49" s="685"/>
      <c r="AB49" s="685"/>
      <c r="AC49" s="685"/>
      <c r="AD49" s="685"/>
      <c r="AE49" s="685"/>
      <c r="AF49" s="685"/>
      <c r="AG49" s="685"/>
      <c r="AH49" s="685"/>
      <c r="AI49" s="685"/>
      <c r="AJ49" s="685"/>
      <c r="AK49" s="685"/>
      <c r="AL49" s="685"/>
      <c r="AM49" s="686"/>
      <c r="AN49" s="83"/>
      <c r="AO49" s="83"/>
      <c r="AP49" s="83"/>
      <c r="AQ49" s="83"/>
      <c r="AR49" s="83"/>
    </row>
    <row r="50" spans="2:44" ht="15.95" customHeight="1">
      <c r="B50" s="83"/>
      <c r="C50" s="83"/>
      <c r="D50" s="84"/>
      <c r="E50" s="84"/>
      <c r="AN50" s="83"/>
      <c r="AO50" s="83"/>
      <c r="AP50" s="83"/>
      <c r="AQ50" s="83"/>
      <c r="AR50" s="83"/>
    </row>
    <row r="51" spans="2:44" ht="15.95" hidden="1" customHeight="1">
      <c r="B51" s="83"/>
      <c r="C51" s="83"/>
      <c r="D51" s="84"/>
      <c r="E51" s="84"/>
      <c r="AN51" s="83"/>
      <c r="AO51" s="83"/>
      <c r="AP51" s="83"/>
      <c r="AQ51" s="83"/>
      <c r="AR51" s="83"/>
    </row>
    <row r="52" spans="2:44" ht="15.95" hidden="1" customHeight="1">
      <c r="B52" s="83"/>
      <c r="C52" s="83"/>
      <c r="D52" s="84"/>
      <c r="E52" s="84"/>
      <c r="AN52" s="83"/>
      <c r="AO52" s="83"/>
      <c r="AP52" s="83"/>
      <c r="AQ52" s="83"/>
      <c r="AR52" s="83"/>
    </row>
    <row r="53" spans="2:44" ht="15.95" hidden="1" customHeight="1">
      <c r="B53" s="83"/>
      <c r="C53" s="83"/>
      <c r="D53" s="84"/>
      <c r="E53" s="84"/>
      <c r="AN53" s="83"/>
      <c r="AO53" s="83"/>
      <c r="AP53" s="83"/>
      <c r="AQ53" s="83"/>
      <c r="AR53" s="83"/>
    </row>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customFormat="1" ht="15.95" hidden="1" customHeight="1"/>
    <row r="113" customFormat="1" ht="15.95" hidden="1" customHeight="1"/>
    <row r="114" customFormat="1" ht="15.95" hidden="1" customHeight="1"/>
    <row r="115" customFormat="1" ht="15.95" hidden="1" customHeight="1"/>
    <row r="116" customFormat="1" ht="15.95" hidden="1" customHeight="1"/>
    <row r="117" customFormat="1" ht="15.95" hidden="1" customHeight="1"/>
    <row r="118" customFormat="1" ht="15.95" hidden="1" customHeight="1"/>
    <row r="119" customFormat="1" ht="15.95" hidden="1" customHeight="1"/>
    <row r="120" customFormat="1" ht="15.95" hidden="1" customHeight="1"/>
    <row r="121" customFormat="1" ht="15.95" hidden="1" customHeight="1"/>
    <row r="122" customFormat="1" ht="15.95" hidden="1" customHeight="1"/>
    <row r="123" customFormat="1" ht="15.95" hidden="1" customHeight="1"/>
    <row r="124" customFormat="1" ht="15.95" hidden="1" customHeight="1"/>
    <row r="125" customFormat="1" ht="15.95" hidden="1" customHeight="1"/>
    <row r="126" customFormat="1" ht="15.95" hidden="1" customHeight="1"/>
    <row r="127" customFormat="1" ht="15.95" hidden="1" customHeight="1"/>
    <row r="128" customFormat="1" ht="15.95" hidden="1" customHeight="1"/>
    <row r="129" customFormat="1" ht="15.95" hidden="1" customHeight="1"/>
    <row r="130" customFormat="1" ht="15.95" hidden="1" customHeight="1"/>
    <row r="131" customFormat="1" ht="15.95" hidden="1" customHeight="1"/>
    <row r="132" customFormat="1" ht="15.95" hidden="1" customHeight="1"/>
    <row r="133" customFormat="1" ht="15.95" hidden="1" customHeight="1"/>
    <row r="134" customFormat="1" ht="15.95" hidden="1" customHeight="1"/>
    <row r="135" customFormat="1" ht="15.95" hidden="1" customHeight="1"/>
    <row r="136" customFormat="1" ht="15.95" hidden="1" customHeight="1"/>
    <row r="137" customFormat="1" ht="15.95" hidden="1" customHeight="1"/>
    <row r="138" customFormat="1" ht="15.95" hidden="1" customHeight="1"/>
    <row r="139" customFormat="1" ht="15.95" hidden="1" customHeight="1"/>
    <row r="140" customFormat="1" ht="15.95" hidden="1" customHeight="1"/>
    <row r="141" customFormat="1" ht="15.95" hidden="1" customHeight="1"/>
    <row r="142" customFormat="1" ht="15.95" hidden="1" customHeight="1"/>
    <row r="143" customFormat="1" ht="15.95" hidden="1" customHeight="1"/>
    <row r="144" customFormat="1" ht="15.95" hidden="1" customHeight="1"/>
    <row r="145" customFormat="1" ht="15.95" hidden="1" customHeight="1"/>
    <row r="146" customFormat="1" ht="15.95" hidden="1" customHeight="1"/>
    <row r="147" customFormat="1" ht="15.95" hidden="1" customHeight="1"/>
    <row r="148" customFormat="1" ht="15.95" hidden="1" customHeight="1"/>
    <row r="149" customFormat="1" ht="15.95" hidden="1" customHeight="1"/>
    <row r="150" customFormat="1" ht="15.95" hidden="1" customHeight="1"/>
    <row r="151" customFormat="1" ht="15.95" hidden="1" customHeight="1"/>
    <row r="152" customFormat="1" ht="15.95" hidden="1" customHeight="1"/>
    <row r="153" customFormat="1" ht="15.95" hidden="1" customHeight="1"/>
    <row r="154" customFormat="1" ht="15.95" hidden="1" customHeight="1"/>
    <row r="155" customFormat="1" ht="15.95" hidden="1" customHeight="1"/>
    <row r="156" customFormat="1" ht="15.95" hidden="1" customHeight="1"/>
    <row r="157" customFormat="1" ht="15.95" hidden="1" customHeight="1"/>
    <row r="158" customFormat="1" ht="15.95" hidden="1" customHeight="1"/>
    <row r="159" customFormat="1" ht="15.95" hidden="1" customHeight="1"/>
    <row r="160" customFormat="1" ht="15.95" hidden="1" customHeight="1"/>
    <row r="161" customFormat="1" ht="15.95" hidden="1" customHeight="1"/>
    <row r="162" customFormat="1" ht="15.95" hidden="1" customHeight="1"/>
    <row r="163" customFormat="1" ht="15.95" hidden="1" customHeight="1"/>
    <row r="164" customFormat="1" ht="15.95" hidden="1" customHeight="1"/>
    <row r="165" customFormat="1" ht="15.95" hidden="1" customHeight="1"/>
    <row r="166" customFormat="1" ht="15.95" hidden="1" customHeight="1"/>
    <row r="167" customFormat="1" ht="15.95" hidden="1" customHeight="1"/>
    <row r="168" customFormat="1" ht="15.95" hidden="1" customHeight="1"/>
    <row r="169" customFormat="1" ht="15.95" hidden="1" customHeight="1"/>
    <row r="170" customFormat="1" ht="15.95" hidden="1" customHeight="1"/>
    <row r="171" customFormat="1" ht="15.95" hidden="1" customHeight="1"/>
    <row r="172" customFormat="1" ht="15.95" hidden="1" customHeight="1"/>
    <row r="173" customFormat="1" ht="15.95" hidden="1" customHeight="1"/>
    <row r="174" customFormat="1" ht="15.95" hidden="1" customHeight="1"/>
    <row r="175" customFormat="1" ht="15.95" hidden="1" customHeight="1"/>
    <row r="176" customFormat="1" ht="15.95" hidden="1" customHeight="1"/>
    <row r="177" customFormat="1" ht="15.95" hidden="1" customHeight="1"/>
    <row r="178" customFormat="1" ht="15.95" hidden="1" customHeight="1"/>
    <row r="179" customFormat="1" ht="15.95" hidden="1" customHeight="1"/>
    <row r="180" customFormat="1" ht="15.95" hidden="1" customHeight="1"/>
    <row r="181" customFormat="1" ht="15.95" hidden="1" customHeight="1"/>
    <row r="182" customFormat="1" ht="15.95" hidden="1" customHeight="1"/>
    <row r="183" customFormat="1" ht="15.95" hidden="1" customHeight="1"/>
    <row r="184" customFormat="1" ht="15.95" hidden="1" customHeight="1"/>
    <row r="185" customFormat="1" ht="15.95" hidden="1" customHeight="1"/>
    <row r="186" customFormat="1" ht="15.95" hidden="1" customHeight="1"/>
    <row r="187" customFormat="1" ht="15.95" hidden="1" customHeight="1"/>
    <row r="188" customFormat="1" ht="15.95" hidden="1" customHeight="1"/>
    <row r="189" customFormat="1" ht="15.95" hidden="1" customHeight="1"/>
    <row r="190" customFormat="1" ht="15.95" hidden="1" customHeight="1"/>
    <row r="191" customFormat="1" ht="15.95" hidden="1" customHeight="1"/>
    <row r="192" customFormat="1" ht="15.95" hidden="1"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VoB3Jx4PrOooQf+l5WJEUROocGTrK+r36+yQ0D0zAs7Op36IkkhT5S06P7ujUHAQP0PBtAoVE5BNYvdwRKpSAA==" saltValue="PS0M7qUXQXDSGAqLj+GDtw==" spinCount="100000" sheet="1" objects="1" scenarios="1" selectLockedCells="1"/>
  <mergeCells count="84">
    <mergeCell ref="F11:AO12"/>
    <mergeCell ref="W21:AB21"/>
    <mergeCell ref="F18:K18"/>
    <mergeCell ref="AH38:AM38"/>
    <mergeCell ref="T39:Y39"/>
    <mergeCell ref="F14:K14"/>
    <mergeCell ref="M14:R14"/>
    <mergeCell ref="T14:Y14"/>
    <mergeCell ref="AA14:AF14"/>
    <mergeCell ref="AH14:AM14"/>
    <mergeCell ref="AH15:AM15"/>
    <mergeCell ref="AH17:AM17"/>
    <mergeCell ref="AH39:AM39"/>
    <mergeCell ref="AH36:AM36"/>
    <mergeCell ref="M39:R39"/>
    <mergeCell ref="I22:N22"/>
    <mergeCell ref="A8:E8"/>
    <mergeCell ref="AP1:AS3"/>
    <mergeCell ref="A5:E6"/>
    <mergeCell ref="AQ5:AU6"/>
    <mergeCell ref="A7:E7"/>
    <mergeCell ref="AQ7:AU7"/>
    <mergeCell ref="F1:I3"/>
    <mergeCell ref="J1:M3"/>
    <mergeCell ref="O1:AE3"/>
    <mergeCell ref="AL1:AO3"/>
    <mergeCell ref="AQ8:AU8"/>
    <mergeCell ref="AT1:AW3"/>
    <mergeCell ref="F15:K15"/>
    <mergeCell ref="T15:Y15"/>
    <mergeCell ref="AA15:AF15"/>
    <mergeCell ref="M18:R18"/>
    <mergeCell ref="T18:Y18"/>
    <mergeCell ref="AA18:AF18"/>
    <mergeCell ref="M15:R15"/>
    <mergeCell ref="F17:K17"/>
    <mergeCell ref="M17:R17"/>
    <mergeCell ref="T17:Y17"/>
    <mergeCell ref="AA17:AF17"/>
    <mergeCell ref="AH18:AM18"/>
    <mergeCell ref="M200:AG201"/>
    <mergeCell ref="I21:N21"/>
    <mergeCell ref="P21:U21"/>
    <mergeCell ref="F36:K36"/>
    <mergeCell ref="M36:R36"/>
    <mergeCell ref="F38:K38"/>
    <mergeCell ref="AA35:AF35"/>
    <mergeCell ref="AA39:AF39"/>
    <mergeCell ref="T36:Y36"/>
    <mergeCell ref="F39:K39"/>
    <mergeCell ref="AA36:AF36"/>
    <mergeCell ref="W22:AB22"/>
    <mergeCell ref="M30:R30"/>
    <mergeCell ref="T30:Y30"/>
    <mergeCell ref="T35:Y35"/>
    <mergeCell ref="A9:AW10"/>
    <mergeCell ref="A32:AW33"/>
    <mergeCell ref="AA30:AF30"/>
    <mergeCell ref="AD21:AI21"/>
    <mergeCell ref="F25:K25"/>
    <mergeCell ref="M25:R25"/>
    <mergeCell ref="T25:Y25"/>
    <mergeCell ref="AA25:AF25"/>
    <mergeCell ref="AD22:AI22"/>
    <mergeCell ref="AH25:AM25"/>
    <mergeCell ref="F24:K24"/>
    <mergeCell ref="M24:R24"/>
    <mergeCell ref="T24:Y24"/>
    <mergeCell ref="F29:K29"/>
    <mergeCell ref="M29:R29"/>
    <mergeCell ref="T29:Y29"/>
    <mergeCell ref="AO24:AV28"/>
    <mergeCell ref="AA24:AF24"/>
    <mergeCell ref="AH24:AM24"/>
    <mergeCell ref="P22:U22"/>
    <mergeCell ref="F42:AM49"/>
    <mergeCell ref="AA38:AF38"/>
    <mergeCell ref="F35:K35"/>
    <mergeCell ref="M35:R35"/>
    <mergeCell ref="AH30:AM30"/>
    <mergeCell ref="V27:AB27"/>
    <mergeCell ref="AA29:AF29"/>
    <mergeCell ref="AH29:AM29"/>
    <mergeCell ref="F30:K30"/>
  </mergeCells>
  <conditionalFormatting sqref="T25:Y25 AH25:AM25">
    <cfRule type="expression" dxfId="146" priority="2">
      <formula>IF(NEWCONCODE="Invalid",TRUE,FALSE)</formula>
    </cfRule>
  </conditionalFormatting>
  <conditionalFormatting sqref="AA39:AF39 AH39:AM39">
    <cfRule type="expression" dxfId="145" priority="1">
      <formula>IF(AND($T$39="Change of Purpose",$AA$39=$AH$39,$AA$39&lt;&gt;"",$AH$39&lt;&gt;""),TRUE,FALSE)</formula>
    </cfRule>
  </conditionalFormatting>
  <conditionalFormatting sqref="AH38:AM39">
    <cfRule type="expression" dxfId="144" priority="4">
      <formula>IF(N02S03F33&lt;&gt;"Change of Purpose",TRUE,FALSE)</formula>
    </cfRule>
  </conditionalFormatting>
  <conditionalFormatting sqref="AQ8:AW8">
    <cfRule type="expression" dxfId="143" priority="1518">
      <formula>IF($AQ$8=PROJSTATMEASURE,FALSE,TRUE)</formula>
    </cfRule>
  </conditionalFormatting>
  <dataValidations xWindow="247" yWindow="878" count="22">
    <dataValidation type="custom" allowBlank="1" showInputMessage="1" showErrorMessage="1" error="Please enter a valid email address." sqref="AH18:AM18 AH30:AM30" xr:uid="{3554FE36-8BFC-4902-BE85-F7DD9DA7B22E}">
      <formula1>AND(FIND(".",AH18),FIND("@",AH18))</formula1>
    </dataValidation>
    <dataValidation type="textLength" allowBlank="1" showInputMessage="1" showErrorMessage="1" error="Please enter a valid phone number. Example: (111) 111-1111" sqref="AA18:AF18" xr:uid="{579219CC-5211-492A-AAA6-7EA098490C53}">
      <formula1>7</formula1>
      <formula2>15</formula2>
    </dataValidation>
    <dataValidation type="list" allowBlank="1" showInputMessage="1" showErrorMessage="1" sqref="AA15:AF15 AA25:AF25" xr:uid="{A998C72C-AD2E-4A02-87E5-E18330943760}">
      <formula1>STATESABBREV</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C27:E27" xr:uid="{DEFFB224-8DF5-43DB-956D-7B269D1DAC08}">
      <formula1>10</formula1>
    </dataValidation>
    <dataValidation type="list" allowBlank="1" showInputMessage="1" showErrorMessage="1" sqref="AA39:AF39 AH39:AM39" xr:uid="{A107F3CC-CD7F-41F6-ABE2-8C727946220C}">
      <formula1>LPDSPACELIST</formula1>
    </dataValidation>
    <dataValidation type="whole" allowBlank="1" showInputMessage="1" showErrorMessage="1" prompt="Enter annual operating hours for the site._x000a_(Ex: open 8 hours/day * 5 days/week * 52 weeks/year = 2080 hours/year)" sqref="T36:Y36" xr:uid="{85E3B83C-93C7-4045-924F-DC0FFA86FDA5}">
      <formula1>0</formula1>
      <formula2>8760</formula2>
    </dataValidation>
    <dataValidation type="whole" operator="greaterThan" allowBlank="1" showInputMessage="1" showErrorMessage="1" sqref="F39:K39" xr:uid="{432CE55F-B237-459B-90C0-59C2AD98E5C6}">
      <formula1>0</formula1>
    </dataValidation>
    <dataValidation type="list" allowBlank="1" showInputMessage="1" showErrorMessage="1" sqref="AA36:AF36" xr:uid="{C1A4324F-41CF-42B8-B430-54A36F4CF038}">
      <formula1>SHEAT</formula1>
    </dataValidation>
    <dataValidation type="list" allowBlank="1" showInputMessage="1" showErrorMessage="1" sqref="M39:R39 AC27" xr:uid="{6EEA1367-CAA2-4D91-ABA8-EAD09E865760}">
      <formula1>YESNOLIST</formula1>
    </dataValidation>
    <dataValidation type="list" operator="lessThanOrEqual" allowBlank="1" showInputMessage="1" showErrorMessage="1" error="Please enter your 10 digit account number without the leading zeros." prompt="Please consult your utility bill or your online account for your Rate Code." sqref="W22:AB22" xr:uid="{92BE4731-8A2F-49A0-BA0C-3AA83A2938E5}">
      <formula1>RATECLASSLIST</formula1>
    </dataValidation>
    <dataValidation type="list" allowBlank="1" showInputMessage="1" showErrorMessage="1" sqref="M36:R36" xr:uid="{C756B94E-D32F-4D22-88D9-3D220F961340}">
      <formula1>BUSDEVELNAME</formula1>
    </dataValidation>
    <dataValidation type="list" allowBlank="1" showInputMessage="1" showErrorMessage="1" sqref="AH36" xr:uid="{BAC73FB6-2ED8-4F5F-ACB6-DE0C5232264D}">
      <formula1>CUSTINFOLIST</formula1>
    </dataValidation>
    <dataValidation type="textLength" allowBlank="1" showInputMessage="1" showErrorMessage="1" error="Please enter a valid phone number." sqref="AA30:AF30" xr:uid="{C715E117-7D05-4E5A-8D2E-41F2642CE5FD}">
      <formula1>7</formula1>
      <formula2>15</formula2>
    </dataValidation>
    <dataValidation allowBlank="1" showInputMessage="1" showErrorMessage="1" prompt="Please consult your utility bill for your account rate (Use your total monthly cost divided by your total kWh)." sqref="AD22:AI22" xr:uid="{A6E2DFDE-8A60-4975-A43D-4CC0C2B9F076}"/>
    <dataValidation allowBlank="1" showInputMessage="1" showErrorMessage="1" prompt="Use this field for your personal project ID. _x000a_Example: Interior Lighting Phase 1" sqref="F36:K36" xr:uid="{A4C5D9EF-4B9D-4DFD-BF19-B2E75513EA46}"/>
    <dataValidation type="list" allowBlank="1" showInputMessage="1" showErrorMessage="1" prompt="Please use the dropdown to select zip code. You may also type in the field using the following format #####" sqref="AH25:AM25" xr:uid="{6855EBAC-97DD-4EBB-9187-D77BD96D0397}">
      <formula1>ZIPCODES_N</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s, dashes, or leading zeros. " sqref="I22:N22 P22:U22" xr:uid="{50570E32-B9FC-42E3-9F53-80D5B619187E}">
      <formula1>10</formula1>
    </dataValidation>
    <dataValidation allowBlank="1" showInputMessage="1" showErrorMessage="1" prompt="Please enter the name of the site where the equipment upgrades are occuring. " sqref="F25:K25" xr:uid="{54FD7E69-4BF8-4A18-89E0-6A5514A001BD}"/>
    <dataValidation type="list" allowBlank="1" showInputMessage="1" showErrorMessage="1" prompt="Please use the dropdown to select your city. You may type the city name in the field if it matches the dropdown formatting as a proper name. _x000a_Example: &quot;Kansas City&quot;" sqref="T25:Y25" xr:uid="{BBCAF23E-9D73-4016-848C-DE350B41F1BC}">
      <formula1>CITIES_LIST</formula1>
    </dataValidation>
    <dataValidation type="list" allowBlank="1" showInputMessage="1" showErrorMessage="1" sqref="T39:Y39" xr:uid="{2C9D1C66-5575-45A0-89BC-26F327AC67C5}">
      <formula1>PROJTYPELIST_N</formula1>
    </dataValidation>
    <dataValidation allowBlank="1" showInputMessage="1" sqref="AD23" xr:uid="{18C35E90-6B97-4CF2-B158-835328123583}"/>
    <dataValidation type="list" allowBlank="1" showInputMessage="1" showErrorMessage="1" sqref="V27" xr:uid="{A5092F32-95FD-426A-B41B-F11DEC7524B2}">
      <formula1>"the Company Contact, the Trade Ally / Contractor Contact, Other"</formula1>
    </dataValidation>
  </dataValidations>
  <hyperlinks>
    <hyperlink ref="B202" r:id="rId1" display="businessrebates@evergy.com" xr:uid="{3BC83C70-D814-4B44-BF05-EF039C0867B2}"/>
  </hyperlinks>
  <printOptions horizontalCentered="1"/>
  <pageMargins left="0" right="0" top="0" bottom="0" header="0" footer="0"/>
  <pageSetup scale="49" orientation="portrait"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D9D50-2D9F-49BC-B242-10750C864402}">
  <sheetPr codeName="Sheet71">
    <tabColor theme="9" tint="0.59999389629810485"/>
    <pageSetUpPr fitToPage="1"/>
  </sheetPr>
  <dimension ref="A1:BN218"/>
  <sheetViews>
    <sheetView showGridLines="0" showRowColHeaders="0" zoomScale="85" zoomScaleNormal="85" workbookViewId="0">
      <selection activeCell="K108" sqref="K108:AJ111"/>
    </sheetView>
  </sheetViews>
  <sheetFormatPr defaultColWidth="0" defaultRowHeight="0" customHeight="1" zeroHeight="1"/>
  <cols>
    <col min="1" max="49" width="4.7109375" customWidth="1"/>
    <col min="50" max="16384" width="8.85546875" hidden="1"/>
  </cols>
  <sheetData>
    <row r="1" spans="1:66"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66"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66"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66" ht="15.95" customHeight="1">
      <c r="B4" s="199"/>
      <c r="C4" s="199"/>
      <c r="D4" s="199"/>
      <c r="E4" s="199"/>
    </row>
    <row r="5" spans="1:66" ht="15.95" customHeight="1">
      <c r="A5" s="667">
        <f>INCENTOTAL_N</f>
        <v>0</v>
      </c>
      <c r="B5" s="667"/>
      <c r="C5" s="667"/>
      <c r="D5" s="667"/>
      <c r="E5" s="667"/>
      <c r="AQ5" s="668">
        <f ca="1">PROGRESSSTATUS_N</f>
        <v>0</v>
      </c>
      <c r="AR5" s="668"/>
      <c r="AS5" s="668"/>
      <c r="AT5" s="668"/>
      <c r="AU5" s="668"/>
      <c r="AV5" s="557"/>
      <c r="AW5" s="557"/>
    </row>
    <row r="6" spans="1:66" ht="15.95" customHeight="1">
      <c r="A6" s="667"/>
      <c r="B6" s="667"/>
      <c r="C6" s="667"/>
      <c r="D6" s="667"/>
      <c r="E6" s="667"/>
      <c r="AQ6" s="668"/>
      <c r="AR6" s="668"/>
      <c r="AS6" s="668"/>
      <c r="AT6" s="668"/>
      <c r="AU6" s="668"/>
      <c r="AV6" s="557"/>
      <c r="AW6" s="557"/>
    </row>
    <row r="7" spans="1:66" ht="15.95" customHeight="1">
      <c r="A7" s="665" t="s">
        <v>20</v>
      </c>
      <c r="B7" s="665"/>
      <c r="C7" s="665"/>
      <c r="D7" s="665"/>
      <c r="E7" s="665"/>
      <c r="AQ7" s="665" t="s">
        <v>179</v>
      </c>
      <c r="AR7" s="665"/>
      <c r="AS7" s="665"/>
      <c r="AT7" s="665"/>
      <c r="AU7" s="665"/>
      <c r="AV7" s="556"/>
      <c r="AW7" s="556"/>
    </row>
    <row r="8" spans="1:66" ht="15.95" customHeight="1" thickBot="1">
      <c r="A8" s="665"/>
      <c r="B8" s="665"/>
      <c r="C8" s="665"/>
      <c r="D8" s="665"/>
      <c r="E8" s="665"/>
      <c r="AQ8" s="674" t="str">
        <f ca="1">PROJSTATUS_N</f>
        <v>Enter Measures</v>
      </c>
      <c r="AR8" s="674"/>
      <c r="AS8" s="674"/>
      <c r="AT8" s="674"/>
      <c r="AU8" s="674"/>
      <c r="AV8" s="558"/>
      <c r="AW8" s="558"/>
    </row>
    <row r="9" spans="1:66" s="79" customFormat="1" ht="15.95" customHeight="1">
      <c r="A9" s="636" t="str">
        <f>N2S4</f>
        <v>Design Team Meeting</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66" s="79" customFormat="1"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66" ht="15.95" customHeight="1" thickBot="1">
      <c r="A11" s="673" t="s">
        <v>1853</v>
      </c>
      <c r="B11" s="673"/>
      <c r="C11" s="673"/>
      <c r="D11" s="673"/>
      <c r="E11" s="673"/>
      <c r="F11" s="673"/>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c r="AT11" s="673"/>
      <c r="AU11" s="673"/>
      <c r="AV11" s="673"/>
      <c r="AW11" s="673"/>
    </row>
    <row r="12" spans="1:66" ht="15.95" customHeight="1" thickBot="1">
      <c r="A12" s="673"/>
      <c r="B12" s="673"/>
      <c r="C12" s="673"/>
      <c r="D12" s="673"/>
      <c r="E12" s="673"/>
      <c r="F12" s="673"/>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673"/>
      <c r="AW12" s="673"/>
      <c r="AZ12" s="673" t="s">
        <v>882</v>
      </c>
      <c r="BA12" s="673"/>
      <c r="BB12" s="673"/>
      <c r="BC12" s="673"/>
      <c r="BD12" s="673"/>
      <c r="BE12" s="673"/>
      <c r="BF12" s="673"/>
      <c r="BG12" s="673"/>
      <c r="BH12" s="673"/>
      <c r="BI12" s="673"/>
      <c r="BJ12" s="673"/>
      <c r="BK12" s="673"/>
      <c r="BL12" s="765"/>
      <c r="BM12" s="766"/>
      <c r="BN12" s="767"/>
    </row>
    <row r="13" spans="1:66" ht="15.95" customHeight="1" thickBot="1">
      <c r="AZ13" s="639" t="s">
        <v>887</v>
      </c>
      <c r="BA13" s="639"/>
      <c r="BB13" s="639"/>
      <c r="BC13" s="639"/>
      <c r="BD13" s="639"/>
      <c r="BE13" s="639"/>
    </row>
    <row r="14" spans="1:66" ht="15.95" customHeight="1" thickBot="1">
      <c r="J14" s="314"/>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6"/>
      <c r="AZ14" s="761"/>
      <c r="BA14" s="762"/>
      <c r="BB14" s="762"/>
      <c r="BC14" s="762"/>
      <c r="BD14" s="762"/>
      <c r="BE14" s="763"/>
    </row>
    <row r="15" spans="1:66" ht="15.95" customHeight="1">
      <c r="J15" s="287"/>
      <c r="K15" s="768" t="s">
        <v>1461</v>
      </c>
      <c r="L15" s="768"/>
      <c r="M15" s="768"/>
      <c r="N15" s="768"/>
      <c r="O15" s="768"/>
      <c r="P15" s="768"/>
      <c r="Q15" s="768"/>
      <c r="R15" s="768"/>
      <c r="S15" s="768"/>
      <c r="T15" s="768"/>
      <c r="U15" s="768"/>
      <c r="V15" s="768"/>
      <c r="W15" s="768"/>
      <c r="X15" s="768"/>
      <c r="Y15" s="768"/>
      <c r="Z15" s="768"/>
      <c r="AA15" s="768"/>
      <c r="AB15" s="768"/>
      <c r="AC15" s="768"/>
      <c r="AD15" s="768"/>
      <c r="AE15" s="768"/>
      <c r="AF15" s="768"/>
      <c r="AG15" s="313"/>
      <c r="AK15" s="288"/>
    </row>
    <row r="16" spans="1:66" ht="15.95" customHeight="1" thickBot="1">
      <c r="J16" s="287"/>
      <c r="K16" s="769"/>
      <c r="L16" s="769"/>
      <c r="M16" s="769"/>
      <c r="N16" s="769"/>
      <c r="O16" s="769"/>
      <c r="P16" s="769"/>
      <c r="Q16" s="769"/>
      <c r="R16" s="769"/>
      <c r="S16" s="769"/>
      <c r="T16" s="769"/>
      <c r="U16" s="769"/>
      <c r="V16" s="769"/>
      <c r="W16" s="769"/>
      <c r="X16" s="769"/>
      <c r="Y16" s="769"/>
      <c r="Z16" s="769"/>
      <c r="AA16" s="769"/>
      <c r="AB16" s="769"/>
      <c r="AC16" s="769"/>
      <c r="AD16" s="769"/>
      <c r="AE16" s="769"/>
      <c r="AF16" s="769"/>
      <c r="AG16" s="330"/>
      <c r="AH16" s="71"/>
      <c r="AI16" s="71"/>
      <c r="AJ16" s="71"/>
      <c r="AK16" s="288"/>
    </row>
    <row r="17" spans="1:49" ht="15.95" customHeight="1">
      <c r="J17" s="287"/>
      <c r="K17" s="770" t="str">
        <f>"Site: "&amp;N02S03F15</f>
        <v xml:space="preserve">Site: </v>
      </c>
      <c r="L17" s="770"/>
      <c r="M17" s="770"/>
      <c r="N17" s="770"/>
      <c r="O17" s="770"/>
      <c r="P17" s="770"/>
      <c r="Q17" s="770"/>
      <c r="R17" s="770"/>
      <c r="S17" s="770"/>
      <c r="T17" s="770"/>
      <c r="U17" s="770"/>
      <c r="V17" s="770"/>
      <c r="W17" s="770"/>
      <c r="X17" s="770"/>
      <c r="Y17" s="770"/>
      <c r="Z17" s="770"/>
      <c r="AA17" s="770"/>
      <c r="AB17" s="770"/>
      <c r="AC17" s="772" t="str">
        <f>CONCATENATE("Project # ",PROJID_N)</f>
        <v xml:space="preserve">Project # </v>
      </c>
      <c r="AD17" s="772"/>
      <c r="AE17" s="772"/>
      <c r="AF17" s="772"/>
      <c r="AG17" s="772"/>
      <c r="AH17" s="772"/>
      <c r="AI17" s="772"/>
      <c r="AJ17" s="772"/>
      <c r="AK17" s="288"/>
    </row>
    <row r="18" spans="1:49" s="70" customFormat="1" ht="15.95" customHeight="1">
      <c r="A18"/>
      <c r="B18"/>
      <c r="C18"/>
      <c r="D18"/>
      <c r="E18"/>
      <c r="F18"/>
      <c r="G18"/>
      <c r="H18"/>
      <c r="I18"/>
      <c r="J18" s="287"/>
      <c r="K18" s="770"/>
      <c r="L18" s="770"/>
      <c r="M18" s="770"/>
      <c r="N18" s="770"/>
      <c r="O18" s="770"/>
      <c r="P18" s="770"/>
      <c r="Q18" s="770"/>
      <c r="R18" s="770"/>
      <c r="S18" s="770"/>
      <c r="T18" s="770"/>
      <c r="U18" s="770"/>
      <c r="V18" s="770"/>
      <c r="W18" s="770"/>
      <c r="X18" s="770"/>
      <c r="Y18" s="770"/>
      <c r="Z18" s="770"/>
      <c r="AA18" s="770"/>
      <c r="AB18" s="770"/>
      <c r="AC18" s="772"/>
      <c r="AD18" s="772"/>
      <c r="AE18" s="772"/>
      <c r="AF18" s="772"/>
      <c r="AG18" s="772"/>
      <c r="AH18" s="772"/>
      <c r="AI18" s="772"/>
      <c r="AJ18" s="772"/>
      <c r="AK18" s="288"/>
      <c r="AL18"/>
      <c r="AM18"/>
      <c r="AN18"/>
      <c r="AO18"/>
      <c r="AP18"/>
      <c r="AQ18"/>
      <c r="AR18"/>
      <c r="AS18"/>
      <c r="AT18"/>
      <c r="AU18"/>
      <c r="AV18"/>
      <c r="AW18"/>
    </row>
    <row r="19" spans="1:49" s="70" customFormat="1" ht="15.95" customHeight="1">
      <c r="A19"/>
      <c r="B19"/>
      <c r="C19"/>
      <c r="D19"/>
      <c r="E19"/>
      <c r="F19"/>
      <c r="G19"/>
      <c r="H19"/>
      <c r="I19"/>
      <c r="J19" s="289"/>
      <c r="K19" s="773" t="s">
        <v>1451</v>
      </c>
      <c r="L19" s="773"/>
      <c r="M19" s="773"/>
      <c r="N19" s="764" t="str">
        <f>IF(N02S03F26="","",N02S03F26)</f>
        <v/>
      </c>
      <c r="O19" s="764"/>
      <c r="P19" s="764"/>
      <c r="Q19" s="764"/>
      <c r="R19" s="764"/>
      <c r="S19" s="764"/>
      <c r="T19" s="764"/>
      <c r="U19" s="764"/>
      <c r="V19" s="764"/>
      <c r="W19" s="193"/>
      <c r="X19" s="371" t="s">
        <v>1460</v>
      </c>
      <c r="Y19" s="218"/>
      <c r="Z19" s="218"/>
      <c r="AA19" s="218"/>
      <c r="AB19" s="218"/>
      <c r="AC19" s="218"/>
      <c r="AD19" s="218"/>
      <c r="AE19" s="218"/>
      <c r="AF19" s="218"/>
      <c r="AG19" s="218"/>
      <c r="AH19" s="218"/>
      <c r="AI19" s="218"/>
      <c r="AJ19" s="218"/>
      <c r="AK19" s="288"/>
      <c r="AL19"/>
      <c r="AM19"/>
      <c r="AN19"/>
      <c r="AO19"/>
      <c r="AP19"/>
      <c r="AQ19"/>
      <c r="AR19"/>
      <c r="AS19"/>
      <c r="AT19"/>
      <c r="AU19"/>
      <c r="AV19"/>
      <c r="AW19"/>
    </row>
    <row r="20" spans="1:49" s="70" customFormat="1" ht="15.95" customHeight="1">
      <c r="A20"/>
      <c r="B20"/>
      <c r="C20"/>
      <c r="D20"/>
      <c r="E20"/>
      <c r="F20"/>
      <c r="G20"/>
      <c r="H20"/>
      <c r="I20"/>
      <c r="J20" s="289"/>
      <c r="K20" s="741" t="s">
        <v>1456</v>
      </c>
      <c r="L20" s="741"/>
      <c r="M20" s="741"/>
      <c r="N20" s="764" t="str">
        <f>IF(OR(N02S03F16="",N02S03F17="",N02S03F18="",N02S03F19=""),"",CONCATENATE(N02S03F16,", ",N02S03F17, ", ", N02S03F18, " ", N02S03F19 ))</f>
        <v/>
      </c>
      <c r="O20" s="764"/>
      <c r="P20" s="764"/>
      <c r="Q20" s="764"/>
      <c r="R20" s="764"/>
      <c r="S20" s="764"/>
      <c r="T20" s="764"/>
      <c r="U20" s="764"/>
      <c r="V20" s="764"/>
      <c r="W20" s="327"/>
      <c r="X20" s="711">
        <f>N02S03F36</f>
        <v>0</v>
      </c>
      <c r="Y20" s="711"/>
      <c r="Z20" s="711"/>
      <c r="AA20" s="711"/>
      <c r="AB20" s="711"/>
      <c r="AC20" s="711"/>
      <c r="AD20" s="711"/>
      <c r="AE20" s="711"/>
      <c r="AF20" s="711"/>
      <c r="AG20" s="711"/>
      <c r="AH20" s="711"/>
      <c r="AI20" s="711"/>
      <c r="AJ20" s="711"/>
      <c r="AK20" s="288"/>
      <c r="AL20"/>
      <c r="AM20"/>
      <c r="AN20"/>
      <c r="AO20"/>
      <c r="AP20"/>
      <c r="AQ20"/>
      <c r="AR20"/>
      <c r="AS20"/>
      <c r="AT20"/>
      <c r="AU20"/>
      <c r="AV20"/>
      <c r="AW20"/>
    </row>
    <row r="21" spans="1:49" s="70" customFormat="1" ht="15.95" customHeight="1">
      <c r="A21"/>
      <c r="B21"/>
      <c r="C21"/>
      <c r="D21"/>
      <c r="E21"/>
      <c r="F21"/>
      <c r="G21"/>
      <c r="H21"/>
      <c r="I21"/>
      <c r="J21" s="289"/>
      <c r="K21" s="741" t="s">
        <v>1895</v>
      </c>
      <c r="L21" s="741"/>
      <c r="M21" s="741"/>
      <c r="N21" s="764" t="str">
        <f>IF(OR(N02S03F21="",N02S03F22=""),"",CONCATENATE(N02S03F21, " ",N02S03F22))</f>
        <v/>
      </c>
      <c r="O21" s="764"/>
      <c r="P21" s="764"/>
      <c r="Q21" s="764"/>
      <c r="R21" s="764"/>
      <c r="S21" s="764"/>
      <c r="T21" s="764"/>
      <c r="U21" s="764"/>
      <c r="V21" s="764"/>
      <c r="W21" s="327"/>
      <c r="X21" s="711"/>
      <c r="Y21" s="711"/>
      <c r="Z21" s="711"/>
      <c r="AA21" s="711"/>
      <c r="AB21" s="711"/>
      <c r="AC21" s="711"/>
      <c r="AD21" s="711"/>
      <c r="AE21" s="711"/>
      <c r="AF21" s="711"/>
      <c r="AG21" s="711"/>
      <c r="AH21" s="711"/>
      <c r="AI21" s="711"/>
      <c r="AJ21" s="711"/>
      <c r="AK21" s="288"/>
      <c r="AL21"/>
      <c r="AM21"/>
      <c r="AN21"/>
      <c r="AO21"/>
      <c r="AP21"/>
      <c r="AQ21"/>
      <c r="AR21"/>
      <c r="AS21"/>
      <c r="AT21"/>
      <c r="AU21"/>
      <c r="AV21"/>
      <c r="AW21"/>
    </row>
    <row r="22" spans="1:49" s="70" customFormat="1" ht="15.95" customHeight="1">
      <c r="A22"/>
      <c r="B22"/>
      <c r="C22"/>
      <c r="D22"/>
      <c r="E22"/>
      <c r="F22"/>
      <c r="G22"/>
      <c r="H22"/>
      <c r="I22"/>
      <c r="J22" s="289"/>
      <c r="K22" s="741" t="s">
        <v>1896</v>
      </c>
      <c r="L22" s="741"/>
      <c r="M22" s="741"/>
      <c r="N22" s="744" t="str">
        <f>N02S03F24</f>
        <v/>
      </c>
      <c r="O22" s="744"/>
      <c r="P22" s="744"/>
      <c r="Q22" s="744"/>
      <c r="R22" s="744"/>
      <c r="S22" s="744"/>
      <c r="T22" s="744"/>
      <c r="U22" s="744"/>
      <c r="V22" s="744"/>
      <c r="W22" s="327"/>
      <c r="X22" s="711"/>
      <c r="Y22" s="711"/>
      <c r="Z22" s="711"/>
      <c r="AA22" s="711"/>
      <c r="AB22" s="711"/>
      <c r="AC22" s="711"/>
      <c r="AD22" s="711"/>
      <c r="AE22" s="711"/>
      <c r="AF22" s="711"/>
      <c r="AG22" s="711"/>
      <c r="AH22" s="711"/>
      <c r="AI22" s="711"/>
      <c r="AJ22" s="711"/>
      <c r="AK22" s="290"/>
      <c r="AL22"/>
      <c r="AM22"/>
      <c r="AN22"/>
      <c r="AO22"/>
      <c r="AP22"/>
      <c r="AQ22"/>
      <c r="AR22"/>
      <c r="AS22"/>
      <c r="AT22"/>
      <c r="AU22"/>
      <c r="AV22"/>
      <c r="AW22"/>
    </row>
    <row r="23" spans="1:49" ht="15.95" customHeight="1">
      <c r="J23" s="287"/>
      <c r="K23" s="741" t="s">
        <v>1897</v>
      </c>
      <c r="L23" s="741"/>
      <c r="M23" s="741"/>
      <c r="N23" s="677" t="str">
        <f>N02S03F25</f>
        <v/>
      </c>
      <c r="O23" s="677"/>
      <c r="P23" s="677"/>
      <c r="Q23" s="677"/>
      <c r="R23" s="677"/>
      <c r="S23" s="677"/>
      <c r="T23" s="677"/>
      <c r="U23" s="677"/>
      <c r="V23" s="677"/>
      <c r="W23" s="327"/>
      <c r="X23" s="711"/>
      <c r="Y23" s="711"/>
      <c r="Z23" s="711"/>
      <c r="AA23" s="711"/>
      <c r="AB23" s="711"/>
      <c r="AC23" s="711"/>
      <c r="AD23" s="711"/>
      <c r="AE23" s="711"/>
      <c r="AF23" s="711"/>
      <c r="AG23" s="711"/>
      <c r="AH23" s="711"/>
      <c r="AI23" s="711"/>
      <c r="AJ23" s="711"/>
      <c r="AK23" s="288"/>
    </row>
    <row r="24" spans="1:49" ht="15.95" customHeight="1">
      <c r="J24" s="287"/>
      <c r="W24" s="83"/>
      <c r="X24" s="711"/>
      <c r="Y24" s="711"/>
      <c r="Z24" s="711"/>
      <c r="AA24" s="711"/>
      <c r="AB24" s="711"/>
      <c r="AC24" s="711"/>
      <c r="AD24" s="711"/>
      <c r="AE24" s="711"/>
      <c r="AF24" s="711"/>
      <c r="AG24" s="711"/>
      <c r="AH24" s="711"/>
      <c r="AI24" s="711"/>
      <c r="AJ24" s="711"/>
      <c r="AK24" s="288"/>
    </row>
    <row r="25" spans="1:49" ht="15.95" customHeight="1">
      <c r="J25" s="287"/>
      <c r="K25" s="741" t="s">
        <v>839</v>
      </c>
      <c r="L25" s="741"/>
      <c r="M25" s="741"/>
      <c r="N25" s="677" t="str">
        <f>IF(N02S03F33="","",N02S03F33)</f>
        <v/>
      </c>
      <c r="O25" s="677"/>
      <c r="P25" s="677"/>
      <c r="Q25" s="677"/>
      <c r="R25" s="677"/>
      <c r="S25" s="677"/>
      <c r="T25" s="677"/>
      <c r="U25" s="677"/>
      <c r="V25" s="677"/>
      <c r="W25" s="327"/>
      <c r="X25" s="711"/>
      <c r="Y25" s="711"/>
      <c r="Z25" s="711"/>
      <c r="AA25" s="711"/>
      <c r="AB25" s="711"/>
      <c r="AC25" s="711"/>
      <c r="AD25" s="711"/>
      <c r="AE25" s="711"/>
      <c r="AF25" s="711"/>
      <c r="AG25" s="711"/>
      <c r="AH25" s="711"/>
      <c r="AI25" s="711"/>
      <c r="AJ25" s="711"/>
      <c r="AK25" s="288"/>
    </row>
    <row r="26" spans="1:49" ht="15.95" customHeight="1">
      <c r="J26" s="287"/>
      <c r="K26" s="741" t="s">
        <v>1458</v>
      </c>
      <c r="L26" s="741"/>
      <c r="M26" s="741"/>
      <c r="N26" s="677" t="str">
        <f ca="1">NEWCONCODE</f>
        <v>IECC 2012</v>
      </c>
      <c r="O26" s="677"/>
      <c r="P26" s="677"/>
      <c r="Q26" s="677"/>
      <c r="R26" s="677"/>
      <c r="S26" s="677"/>
      <c r="T26" s="677"/>
      <c r="U26" s="677"/>
      <c r="V26" s="677"/>
      <c r="W26" s="84"/>
      <c r="X26" s="711"/>
      <c r="Y26" s="711"/>
      <c r="Z26" s="711"/>
      <c r="AA26" s="711"/>
      <c r="AB26" s="711"/>
      <c r="AC26" s="711"/>
      <c r="AD26" s="711"/>
      <c r="AE26" s="711"/>
      <c r="AF26" s="711"/>
      <c r="AG26" s="711"/>
      <c r="AH26" s="711"/>
      <c r="AI26" s="711"/>
      <c r="AJ26" s="711"/>
      <c r="AK26" s="288"/>
    </row>
    <row r="27" spans="1:49" ht="15.95" customHeight="1">
      <c r="J27" s="287"/>
      <c r="K27" s="83"/>
      <c r="L27" s="83"/>
      <c r="M27" s="83"/>
      <c r="N27" s="83"/>
      <c r="O27" s="83"/>
      <c r="P27" s="83"/>
      <c r="Q27" s="83"/>
      <c r="R27" s="83"/>
      <c r="S27" s="83"/>
      <c r="T27" s="83"/>
      <c r="U27" s="83"/>
      <c r="V27" s="83"/>
      <c r="W27" s="83"/>
      <c r="X27" s="711"/>
      <c r="Y27" s="711"/>
      <c r="Z27" s="711"/>
      <c r="AA27" s="711"/>
      <c r="AB27" s="711"/>
      <c r="AC27" s="711"/>
      <c r="AD27" s="711"/>
      <c r="AE27" s="711"/>
      <c r="AF27" s="711"/>
      <c r="AG27" s="711"/>
      <c r="AH27" s="711"/>
      <c r="AI27" s="711"/>
      <c r="AJ27" s="711"/>
      <c r="AK27" s="288"/>
    </row>
    <row r="28" spans="1:49" ht="15.95" customHeight="1">
      <c r="J28" s="287"/>
      <c r="K28" s="741" t="s">
        <v>1459</v>
      </c>
      <c r="L28" s="741"/>
      <c r="M28" s="741"/>
      <c r="N28" s="677" t="str">
        <f>IF(N02S03F27="","",N02S03F27)</f>
        <v/>
      </c>
      <c r="O28" s="677"/>
      <c r="P28" s="677"/>
      <c r="Q28" s="677"/>
      <c r="R28" s="677"/>
      <c r="S28" s="677"/>
      <c r="T28" s="677"/>
      <c r="U28" s="677"/>
      <c r="V28" s="677"/>
      <c r="W28" s="83"/>
      <c r="X28" s="86"/>
      <c r="Y28" s="86"/>
      <c r="Z28" s="86"/>
      <c r="AA28" s="86"/>
      <c r="AB28" s="86"/>
      <c r="AC28" s="86"/>
      <c r="AD28" s="86"/>
      <c r="AE28" s="86"/>
      <c r="AF28" s="86"/>
      <c r="AG28" s="86"/>
      <c r="AH28" s="86"/>
      <c r="AI28" s="86"/>
      <c r="AJ28" s="86"/>
      <c r="AK28" s="288"/>
    </row>
    <row r="29" spans="1:49" ht="15.95" customHeight="1">
      <c r="J29" s="287"/>
      <c r="K29" s="741" t="s">
        <v>719</v>
      </c>
      <c r="L29" s="741"/>
      <c r="M29" s="741"/>
      <c r="N29" s="677" t="str">
        <f>IFERROR(INDEX(BUSDEVEL[Phone],MATCH(N28,BUSDEVEL[Business Development Lead],0)),"")</f>
        <v/>
      </c>
      <c r="O29" s="677"/>
      <c r="P29" s="677"/>
      <c r="Q29" s="677"/>
      <c r="R29" s="677"/>
      <c r="S29" s="677"/>
      <c r="T29" s="677"/>
      <c r="U29" s="677"/>
      <c r="V29" s="677"/>
      <c r="AK29" s="288"/>
    </row>
    <row r="30" spans="1:49" ht="15.95" customHeight="1">
      <c r="J30" s="287"/>
      <c r="K30" s="741" t="s">
        <v>724</v>
      </c>
      <c r="L30" s="741"/>
      <c r="M30" s="741"/>
      <c r="N30" s="677" t="str">
        <f>IFERROR(INDEX(BUSDEVEL[Email],MATCH(N28,BUSDEVEL[Business Development Lead],0)),"")</f>
        <v/>
      </c>
      <c r="O30" s="677"/>
      <c r="P30" s="677"/>
      <c r="Q30" s="677"/>
      <c r="R30" s="677"/>
      <c r="S30" s="677"/>
      <c r="T30" s="677"/>
      <c r="U30" s="677"/>
      <c r="V30" s="677"/>
      <c r="AK30" s="288"/>
    </row>
    <row r="31" spans="1:49" ht="15.95" customHeight="1">
      <c r="J31" s="287"/>
      <c r="L31" s="21"/>
      <c r="M31" s="21"/>
      <c r="N31" s="21"/>
      <c r="O31" s="21"/>
      <c r="P31" s="21"/>
      <c r="Q31" s="21"/>
      <c r="R31" s="21"/>
      <c r="S31" s="21"/>
      <c r="T31" s="21"/>
      <c r="U31" s="21"/>
      <c r="V31" s="21"/>
      <c r="W31" s="21"/>
      <c r="X31" s="21"/>
      <c r="Y31" s="21"/>
      <c r="Z31" s="21"/>
      <c r="AA31" s="21"/>
      <c r="AB31" s="21"/>
      <c r="AC31" s="21"/>
      <c r="AD31" s="21"/>
      <c r="AE31" s="21"/>
      <c r="AF31" s="21"/>
      <c r="AG31" s="21"/>
      <c r="AH31" s="21"/>
      <c r="AI31" s="21"/>
      <c r="AK31" s="288"/>
    </row>
    <row r="32" spans="1:49" ht="15.95" customHeight="1">
      <c r="J32" s="287"/>
      <c r="L32" s="21"/>
      <c r="M32" s="21"/>
      <c r="N32" s="21"/>
      <c r="O32" s="21"/>
      <c r="P32" s="21"/>
      <c r="Q32" s="21"/>
      <c r="R32" s="21"/>
      <c r="S32" s="21"/>
      <c r="T32" s="21"/>
      <c r="U32" s="21"/>
      <c r="V32" s="21"/>
      <c r="W32" s="21"/>
      <c r="X32" s="21"/>
      <c r="Y32" s="21"/>
      <c r="Z32" s="21"/>
      <c r="AA32" s="21"/>
      <c r="AB32" s="21"/>
      <c r="AC32" s="21"/>
      <c r="AD32" s="21"/>
      <c r="AE32" s="21"/>
      <c r="AF32" s="21"/>
      <c r="AG32" s="21"/>
      <c r="AH32" s="21"/>
      <c r="AI32" s="21"/>
      <c r="AK32" s="318"/>
    </row>
    <row r="33" spans="3:41" ht="15.95" customHeight="1">
      <c r="J33" s="287"/>
      <c r="L33" s="21"/>
      <c r="M33" s="21"/>
      <c r="N33" s="21"/>
      <c r="O33" s="21"/>
      <c r="P33" s="21"/>
      <c r="Q33" s="21"/>
      <c r="R33" s="21"/>
      <c r="S33" s="21"/>
      <c r="T33" s="21"/>
      <c r="U33" s="21"/>
      <c r="V33" s="21"/>
      <c r="W33" s="21"/>
      <c r="X33" s="21"/>
      <c r="Y33" s="21"/>
      <c r="Z33" s="21"/>
      <c r="AA33" s="21"/>
      <c r="AB33" s="21"/>
      <c r="AC33" s="21"/>
      <c r="AD33" s="21"/>
      <c r="AE33" s="21"/>
      <c r="AF33" s="21"/>
      <c r="AG33" s="21"/>
      <c r="AH33" s="21"/>
      <c r="AI33" s="21"/>
      <c r="AK33" s="288"/>
    </row>
    <row r="34" spans="3:41" ht="15.95" customHeight="1">
      <c r="J34" s="287"/>
      <c r="L34" s="771"/>
      <c r="M34" s="771"/>
      <c r="N34" s="771"/>
      <c r="O34" s="771"/>
      <c r="P34" s="771"/>
      <c r="Q34" s="771"/>
      <c r="R34" s="771"/>
      <c r="S34" s="771"/>
      <c r="T34" s="771"/>
      <c r="U34" s="771"/>
      <c r="V34" s="771"/>
      <c r="W34" s="771"/>
      <c r="X34" s="771"/>
      <c r="Y34" s="771"/>
      <c r="Z34" s="771"/>
      <c r="AA34" s="771"/>
      <c r="AB34" s="771"/>
      <c r="AC34" s="771"/>
      <c r="AD34" s="771"/>
      <c r="AE34" s="771"/>
      <c r="AF34" s="771"/>
      <c r="AG34" s="771"/>
      <c r="AH34" s="771"/>
      <c r="AI34" s="771"/>
      <c r="AK34" s="288"/>
    </row>
    <row r="35" spans="3:41" ht="15.95" customHeight="1">
      <c r="J35" s="287"/>
      <c r="L35" s="673" t="s">
        <v>1449</v>
      </c>
      <c r="M35" s="673"/>
      <c r="N35" s="673"/>
      <c r="O35" s="673" t="s">
        <v>1454</v>
      </c>
      <c r="P35" s="673"/>
      <c r="Q35" s="673"/>
      <c r="R35" s="673" t="s">
        <v>1449</v>
      </c>
      <c r="S35" s="673"/>
      <c r="T35" s="673"/>
      <c r="U35" s="673" t="s">
        <v>1454</v>
      </c>
      <c r="V35" s="673"/>
      <c r="W35" s="673"/>
      <c r="X35" s="673" t="s">
        <v>1449</v>
      </c>
      <c r="Y35" s="673"/>
      <c r="Z35" s="673"/>
      <c r="AA35" s="673" t="s">
        <v>1454</v>
      </c>
      <c r="AB35" s="673"/>
      <c r="AC35" s="673"/>
      <c r="AD35" s="360"/>
      <c r="AE35" s="360"/>
      <c r="AF35" s="360"/>
      <c r="AG35" s="360"/>
      <c r="AH35" s="360"/>
      <c r="AI35" s="361"/>
      <c r="AK35" s="288"/>
    </row>
    <row r="36" spans="3:41" ht="15.95" customHeight="1">
      <c r="J36" s="287"/>
      <c r="AK36" s="288"/>
    </row>
    <row r="37" spans="3:41" ht="15.95" customHeight="1">
      <c r="J37" s="287"/>
      <c r="AK37" s="288"/>
    </row>
    <row r="38" spans="3:41" ht="20.25" customHeight="1">
      <c r="J38" s="287"/>
      <c r="AK38" s="288"/>
    </row>
    <row r="39" spans="3:41" ht="15.95" customHeight="1">
      <c r="J39" s="287"/>
      <c r="K39" s="362" t="s">
        <v>1455</v>
      </c>
      <c r="L39" s="83"/>
      <c r="M39" s="83"/>
      <c r="N39" s="742"/>
      <c r="O39" s="743"/>
      <c r="P39" s="743"/>
      <c r="Q39" s="743"/>
      <c r="R39" s="743"/>
      <c r="S39" s="743"/>
      <c r="T39" s="743"/>
      <c r="AK39" s="288"/>
    </row>
    <row r="40" spans="3:41" ht="15.95" customHeight="1">
      <c r="J40" s="287"/>
      <c r="K40" s="320"/>
      <c r="L40" s="320"/>
      <c r="M40" s="320"/>
      <c r="N40" s="320"/>
      <c r="O40" s="320"/>
      <c r="P40" s="320"/>
      <c r="Q40" s="320"/>
      <c r="R40" s="320"/>
      <c r="S40" s="320"/>
      <c r="T40" s="320"/>
      <c r="U40" s="320"/>
      <c r="V40" s="320"/>
      <c r="W40" s="320"/>
      <c r="X40" s="320"/>
      <c r="Y40" s="21"/>
      <c r="Z40" s="21"/>
      <c r="AA40" s="21"/>
      <c r="AB40" s="21"/>
      <c r="AC40" s="21"/>
      <c r="AD40" s="21"/>
      <c r="AE40" s="21"/>
      <c r="AF40" s="21"/>
      <c r="AG40" s="21"/>
      <c r="AH40" s="21"/>
      <c r="AI40" s="21"/>
      <c r="AJ40" s="21"/>
      <c r="AK40" s="288"/>
    </row>
    <row r="41" spans="3:41" ht="15.95" customHeight="1">
      <c r="J41" s="287"/>
      <c r="AK41" s="288"/>
    </row>
    <row r="42" spans="3:41" ht="19.5" customHeight="1" thickBot="1">
      <c r="J42" s="287"/>
      <c r="K42" s="331" t="s">
        <v>1450</v>
      </c>
      <c r="L42" s="331"/>
      <c r="M42" s="331"/>
      <c r="N42" s="331"/>
      <c r="O42" s="331"/>
      <c r="P42" s="331"/>
      <c r="Q42" s="331"/>
      <c r="R42" s="331"/>
      <c r="S42" s="331"/>
      <c r="T42" s="331"/>
      <c r="U42" s="331"/>
      <c r="V42" s="331"/>
      <c r="W42" s="331"/>
      <c r="X42" s="331"/>
      <c r="Y42" s="332"/>
      <c r="Z42" s="332"/>
      <c r="AA42" s="332"/>
      <c r="AB42" s="332"/>
      <c r="AC42" s="332"/>
      <c r="AD42" s="332"/>
      <c r="AE42" s="332"/>
      <c r="AF42" s="332"/>
      <c r="AG42" s="332"/>
      <c r="AH42" s="332"/>
      <c r="AI42" s="332"/>
      <c r="AJ42" s="332"/>
      <c r="AK42" s="288"/>
    </row>
    <row r="43" spans="3:41" ht="15.95" customHeight="1">
      <c r="J43" s="287"/>
      <c r="K43" s="320" t="s">
        <v>1783</v>
      </c>
      <c r="L43" s="320"/>
      <c r="M43" s="320"/>
      <c r="N43" s="320"/>
      <c r="O43" s="320"/>
      <c r="P43" s="320"/>
      <c r="Q43" s="320"/>
      <c r="R43" s="320"/>
      <c r="S43" s="320"/>
      <c r="T43" s="320"/>
      <c r="U43" s="320"/>
      <c r="V43" s="320"/>
      <c r="W43" s="320"/>
      <c r="X43" s="320"/>
      <c r="Y43" s="21"/>
      <c r="Z43" s="21"/>
      <c r="AA43" s="21"/>
      <c r="AB43" s="21"/>
      <c r="AC43" s="21"/>
      <c r="AD43" s="21"/>
      <c r="AE43" s="21"/>
      <c r="AF43" s="21"/>
      <c r="AG43" s="21"/>
      <c r="AH43" s="21"/>
      <c r="AI43" s="21"/>
      <c r="AJ43" s="21"/>
      <c r="AK43" s="288"/>
      <c r="AM43" s="21"/>
      <c r="AN43" s="21"/>
    </row>
    <row r="44" spans="3:41" ht="15.95" customHeight="1">
      <c r="C44" s="195"/>
      <c r="D44" s="195"/>
      <c r="E44" s="195"/>
      <c r="F44" s="195"/>
      <c r="G44" s="195"/>
      <c r="J44" s="287"/>
      <c r="AK44" s="288"/>
      <c r="AO44" s="21"/>
    </row>
    <row r="45" spans="3:41" ht="15.95" customHeight="1">
      <c r="C45" s="195"/>
      <c r="D45" s="195"/>
      <c r="E45" s="195"/>
      <c r="F45" s="195"/>
      <c r="G45" s="195"/>
      <c r="J45" s="287"/>
      <c r="K45" s="740" t="str">
        <f>IF(AND(N02S03F21&lt;&gt;"",N02S03F22&lt;&gt;"",N02S03F23&lt;&gt;""),"Site Contact - "&amp;N02S03F21&amp;" "&amp;N02S03F22&amp;" - "&amp;N02S03F23,"Site Contact - ")</f>
        <v xml:space="preserve">Site Contact - </v>
      </c>
      <c r="L45" s="740"/>
      <c r="M45" s="740"/>
      <c r="N45" s="740"/>
      <c r="O45" s="740"/>
      <c r="P45" s="740"/>
      <c r="Q45" s="740"/>
      <c r="R45" s="740"/>
      <c r="S45" s="740"/>
      <c r="T45" s="740"/>
      <c r="U45" s="740"/>
      <c r="V45" s="740"/>
      <c r="W45" s="377"/>
      <c r="X45" s="378"/>
      <c r="Y45" s="722"/>
      <c r="Z45" s="722"/>
      <c r="AA45" s="722"/>
      <c r="AB45" s="722"/>
      <c r="AC45" s="722"/>
      <c r="AD45" s="722"/>
      <c r="AE45" s="722"/>
      <c r="AF45" s="722"/>
      <c r="AG45" s="722"/>
      <c r="AH45" s="722"/>
      <c r="AI45" s="722"/>
      <c r="AJ45" s="722"/>
      <c r="AK45" s="318"/>
      <c r="AM45" s="21"/>
      <c r="AN45" s="21"/>
      <c r="AO45" s="21"/>
    </row>
    <row r="46" spans="3:41" ht="15.95" customHeight="1">
      <c r="J46" s="287"/>
      <c r="W46" s="85"/>
      <c r="X46" s="85"/>
      <c r="Y46" s="85"/>
      <c r="Z46" s="85"/>
      <c r="AA46" s="85"/>
      <c r="AB46" s="85"/>
      <c r="AC46" s="85"/>
      <c r="AD46" s="85"/>
      <c r="AE46" s="85"/>
      <c r="AF46" s="85"/>
      <c r="AG46" s="85"/>
      <c r="AH46" s="85"/>
      <c r="AI46" s="85"/>
      <c r="AJ46" s="85"/>
      <c r="AK46" s="318"/>
      <c r="AM46" s="21"/>
      <c r="AN46" s="21"/>
      <c r="AO46" s="21"/>
    </row>
    <row r="47" spans="3:41" ht="15.95" customHeight="1">
      <c r="J47" s="287"/>
      <c r="K47" s="740" t="str">
        <f>IF(AND(N02S02F01&lt;&gt;"",N02S02F06&lt;&gt;"",N02S02F07&lt;&gt;""),"TA/General Contractor - "&amp;N02S02F06&amp;" "&amp;N02S02F07&amp;" - "&amp;N02S02F01,"TA/General Contractor - ")</f>
        <v xml:space="preserve">TA/General Contractor - </v>
      </c>
      <c r="L47" s="740"/>
      <c r="M47" s="740"/>
      <c r="N47" s="740"/>
      <c r="O47" s="740"/>
      <c r="P47" s="740"/>
      <c r="Q47" s="740"/>
      <c r="R47" s="740"/>
      <c r="S47" s="740"/>
      <c r="T47" s="740"/>
      <c r="U47" s="740"/>
      <c r="V47" s="740"/>
      <c r="W47" s="377"/>
      <c r="X47" s="378"/>
      <c r="Y47" s="722"/>
      <c r="Z47" s="722"/>
      <c r="AA47" s="722"/>
      <c r="AB47" s="722"/>
      <c r="AC47" s="722"/>
      <c r="AD47" s="722"/>
      <c r="AE47" s="722"/>
      <c r="AF47" s="722"/>
      <c r="AG47" s="722"/>
      <c r="AH47" s="722"/>
      <c r="AI47" s="722"/>
      <c r="AJ47" s="722"/>
      <c r="AK47" s="318"/>
      <c r="AM47" s="21"/>
      <c r="AN47" s="21"/>
      <c r="AO47" s="21"/>
    </row>
    <row r="48" spans="3:41" ht="15.95" customHeight="1">
      <c r="J48" s="287"/>
      <c r="K48" s="379"/>
      <c r="L48" s="379"/>
      <c r="M48" s="379"/>
      <c r="N48" s="379"/>
      <c r="O48" s="379"/>
      <c r="P48" s="379"/>
      <c r="Q48" s="379"/>
      <c r="R48" s="379"/>
      <c r="S48" s="379"/>
      <c r="T48" s="379"/>
      <c r="U48" s="379"/>
      <c r="V48" s="379"/>
      <c r="W48" s="377"/>
      <c r="X48" s="378"/>
      <c r="Y48" s="85"/>
      <c r="Z48" s="85"/>
      <c r="AA48" s="85"/>
      <c r="AB48" s="85"/>
      <c r="AC48" s="85"/>
      <c r="AD48" s="85"/>
      <c r="AE48" s="85"/>
      <c r="AF48" s="85"/>
      <c r="AG48" s="85"/>
      <c r="AH48" s="85"/>
      <c r="AI48" s="85"/>
      <c r="AJ48" s="85"/>
      <c r="AK48" s="318"/>
      <c r="AM48" s="21"/>
      <c r="AN48" s="21"/>
      <c r="AO48" s="21"/>
    </row>
    <row r="49" spans="10:41" ht="15.95" customHeight="1">
      <c r="J49" s="287"/>
      <c r="K49" s="740" t="str">
        <f>IF(AND(N02S02F11&lt;&gt;"",N02S02F16&lt;&gt;"",N02S02F17&lt;&gt;""),"Architect - "&amp;N02S02F16&amp;" "&amp;N02S02F17&amp;" - "&amp;N02S02F11,"Architect - ")</f>
        <v xml:space="preserve">Architect - </v>
      </c>
      <c r="L49" s="740"/>
      <c r="M49" s="740"/>
      <c r="N49" s="740"/>
      <c r="O49" s="740"/>
      <c r="P49" s="740"/>
      <c r="Q49" s="740"/>
      <c r="R49" s="740"/>
      <c r="S49" s="740"/>
      <c r="T49" s="740"/>
      <c r="U49" s="740"/>
      <c r="V49" s="740"/>
      <c r="W49" s="377"/>
      <c r="X49" s="378"/>
      <c r="Y49" s="722"/>
      <c r="Z49" s="722"/>
      <c r="AA49" s="722"/>
      <c r="AB49" s="722"/>
      <c r="AC49" s="722"/>
      <c r="AD49" s="722"/>
      <c r="AE49" s="722"/>
      <c r="AF49" s="722"/>
      <c r="AG49" s="722"/>
      <c r="AH49" s="722"/>
      <c r="AI49" s="722"/>
      <c r="AJ49" s="722"/>
      <c r="AK49" s="288"/>
      <c r="AM49" s="21"/>
      <c r="AN49" s="21"/>
    </row>
    <row r="50" spans="10:41" ht="15.95" customHeight="1">
      <c r="J50" s="287"/>
      <c r="K50" s="380"/>
      <c r="L50" s="380"/>
      <c r="M50" s="380"/>
      <c r="N50" s="380"/>
      <c r="O50" s="380"/>
      <c r="P50" s="380"/>
      <c r="Q50" s="380"/>
      <c r="R50" s="380"/>
      <c r="S50" s="380"/>
      <c r="T50" s="380"/>
      <c r="U50" s="380"/>
      <c r="V50" s="380"/>
      <c r="W50" s="377"/>
      <c r="X50" s="378"/>
      <c r="Y50" s="85"/>
      <c r="Z50" s="85"/>
      <c r="AA50" s="85"/>
      <c r="AB50" s="85"/>
      <c r="AC50" s="85"/>
      <c r="AD50" s="85"/>
      <c r="AE50" s="85"/>
      <c r="AF50" s="85"/>
      <c r="AG50" s="85"/>
      <c r="AH50" s="85"/>
      <c r="AI50" s="85"/>
      <c r="AJ50" s="85"/>
      <c r="AK50" s="288"/>
      <c r="AM50" s="21"/>
      <c r="AN50" s="21"/>
      <c r="AO50" s="21"/>
    </row>
    <row r="51" spans="10:41" ht="15.95" customHeight="1">
      <c r="J51" s="287"/>
      <c r="K51" s="740" t="str">
        <f>IF(AND(N02S02F21&lt;&gt;"",N02S02F26&lt;&gt;"",N02S02F27&lt;&gt;""),"Mechanical Engineer - "&amp;N02S02F26&amp;" "&amp;N02S02F27&amp;" - "&amp;N02S02F21,"Mechanical Engineer - ")</f>
        <v xml:space="preserve">Mechanical Engineer - </v>
      </c>
      <c r="L51" s="740"/>
      <c r="M51" s="740"/>
      <c r="N51" s="740"/>
      <c r="O51" s="740"/>
      <c r="P51" s="740"/>
      <c r="Q51" s="740"/>
      <c r="R51" s="740"/>
      <c r="S51" s="740"/>
      <c r="T51" s="740"/>
      <c r="U51" s="740"/>
      <c r="V51" s="740"/>
      <c r="W51" s="377"/>
      <c r="X51" s="378"/>
      <c r="Y51" s="722"/>
      <c r="Z51" s="722"/>
      <c r="AA51" s="722"/>
      <c r="AB51" s="722"/>
      <c r="AC51" s="722"/>
      <c r="AD51" s="722"/>
      <c r="AE51" s="722"/>
      <c r="AF51" s="722"/>
      <c r="AG51" s="722"/>
      <c r="AH51" s="722"/>
      <c r="AI51" s="722"/>
      <c r="AJ51" s="722"/>
      <c r="AK51" s="288"/>
      <c r="AM51" s="21"/>
      <c r="AO51" s="21"/>
    </row>
    <row r="52" spans="10:41" ht="15.95" customHeight="1">
      <c r="J52" s="287"/>
      <c r="K52" s="380"/>
      <c r="L52" s="380"/>
      <c r="M52" s="380"/>
      <c r="N52" s="380"/>
      <c r="O52" s="380"/>
      <c r="P52" s="380"/>
      <c r="Q52" s="380"/>
      <c r="R52" s="380"/>
      <c r="S52" s="380"/>
      <c r="T52" s="380"/>
      <c r="U52" s="380"/>
      <c r="V52" s="380"/>
      <c r="W52" s="377"/>
      <c r="X52" s="378"/>
      <c r="Y52" s="85"/>
      <c r="Z52" s="85"/>
      <c r="AA52" s="85"/>
      <c r="AB52" s="85"/>
      <c r="AC52" s="85"/>
      <c r="AD52" s="85"/>
      <c r="AE52" s="85"/>
      <c r="AF52" s="85"/>
      <c r="AG52" s="85"/>
      <c r="AH52" s="85"/>
      <c r="AI52" s="85"/>
      <c r="AJ52" s="85"/>
      <c r="AK52" s="288"/>
      <c r="AM52" s="21"/>
      <c r="AO52" s="21"/>
    </row>
    <row r="53" spans="10:41" ht="15.75" customHeight="1">
      <c r="J53" s="287"/>
      <c r="K53" s="740" t="str">
        <f>IF(AND(N02S02F31&lt;&gt;"",N02S02F36&lt;&gt;"",N02S02F37&lt;&gt;""),"Electrical Engineer - "&amp;N02S02F36&amp;" "&amp;N02S02F37&amp;" - "&amp;N02S02F31,"Electrical Engineer - ")</f>
        <v xml:space="preserve">Electrical Engineer - </v>
      </c>
      <c r="L53" s="740"/>
      <c r="M53" s="740"/>
      <c r="N53" s="740"/>
      <c r="O53" s="740"/>
      <c r="P53" s="740"/>
      <c r="Q53" s="740"/>
      <c r="R53" s="740"/>
      <c r="S53" s="740"/>
      <c r="T53" s="740"/>
      <c r="U53" s="740"/>
      <c r="V53" s="740"/>
      <c r="W53" s="377"/>
      <c r="X53" s="378"/>
      <c r="Y53" s="722"/>
      <c r="Z53" s="722"/>
      <c r="AA53" s="722"/>
      <c r="AB53" s="722"/>
      <c r="AC53" s="722"/>
      <c r="AD53" s="722"/>
      <c r="AE53" s="722"/>
      <c r="AF53" s="722"/>
      <c r="AG53" s="722"/>
      <c r="AH53" s="722"/>
      <c r="AI53" s="722"/>
      <c r="AJ53" s="722"/>
      <c r="AK53" s="288"/>
      <c r="AM53" s="21"/>
      <c r="AN53" s="21"/>
      <c r="AO53" s="21"/>
    </row>
    <row r="54" spans="10:41" ht="15.75" customHeight="1">
      <c r="J54" s="287"/>
      <c r="K54" s="380"/>
      <c r="L54" s="380"/>
      <c r="M54" s="380"/>
      <c r="N54" s="380"/>
      <c r="O54" s="380"/>
      <c r="P54" s="380"/>
      <c r="Q54" s="380"/>
      <c r="R54" s="380"/>
      <c r="S54" s="380"/>
      <c r="T54" s="380"/>
      <c r="U54" s="380"/>
      <c r="V54" s="380"/>
      <c r="AK54" s="288"/>
      <c r="AM54" s="21"/>
      <c r="AN54" s="21"/>
    </row>
    <row r="55" spans="10:41" ht="15.95" customHeight="1">
      <c r="J55" s="287"/>
      <c r="K55" s="721" t="str">
        <f>IF(AND(N02S02F41&lt;&gt;"",N02S02F46&lt;&gt;"",N02S02F47&lt;&gt;""),N02S02F46&amp;" "&amp;N02S02F47&amp;" - "&amp;N02S02F41,"")</f>
        <v/>
      </c>
      <c r="L55" s="721"/>
      <c r="M55" s="721"/>
      <c r="N55" s="721"/>
      <c r="O55" s="721"/>
      <c r="P55" s="721"/>
      <c r="Q55" s="721"/>
      <c r="R55" s="721"/>
      <c r="S55" s="721"/>
      <c r="T55" s="721"/>
      <c r="U55" s="721"/>
      <c r="V55" s="721"/>
      <c r="Y55" s="722"/>
      <c r="Z55" s="722"/>
      <c r="AA55" s="722"/>
      <c r="AB55" s="722"/>
      <c r="AC55" s="722"/>
      <c r="AD55" s="722"/>
      <c r="AE55" s="722"/>
      <c r="AF55" s="722"/>
      <c r="AG55" s="722"/>
      <c r="AH55" s="722"/>
      <c r="AI55" s="722"/>
      <c r="AJ55" s="722"/>
      <c r="AK55" s="288"/>
      <c r="AM55" s="21"/>
      <c r="AN55" s="21"/>
      <c r="AO55" s="21"/>
    </row>
    <row r="56" spans="10:41" ht="18" customHeight="1">
      <c r="J56" s="317"/>
      <c r="AK56" s="288"/>
      <c r="AM56" s="21"/>
      <c r="AN56" s="21"/>
      <c r="AO56" s="21"/>
    </row>
    <row r="57" spans="10:41" ht="18" customHeight="1">
      <c r="J57" s="287"/>
      <c r="K57" s="721" t="str">
        <f>IF(AND(N02S02F51&lt;&gt;"",N02S02F56&lt;&gt;"",N02S02F57&lt;&gt;""),N02S02F56&amp;" "&amp;N02S02F57&amp;" - "&amp;N02S02F51,"")</f>
        <v/>
      </c>
      <c r="L57" s="721"/>
      <c r="M57" s="721"/>
      <c r="N57" s="721"/>
      <c r="O57" s="721"/>
      <c r="P57" s="721"/>
      <c r="Q57" s="721"/>
      <c r="R57" s="721"/>
      <c r="S57" s="721"/>
      <c r="T57" s="721"/>
      <c r="U57" s="721"/>
      <c r="V57" s="721"/>
      <c r="AK57" s="288"/>
      <c r="AM57" s="21"/>
      <c r="AN57" s="21"/>
      <c r="AO57" s="21"/>
    </row>
    <row r="58" spans="10:41" ht="18" customHeight="1">
      <c r="J58" s="317"/>
      <c r="AK58" s="288"/>
      <c r="AM58" s="21"/>
      <c r="AN58" s="21"/>
      <c r="AO58" s="21"/>
    </row>
    <row r="59" spans="10:41" ht="20.25" customHeight="1" thickBot="1">
      <c r="J59" s="317"/>
      <c r="K59" s="333" t="s">
        <v>1452</v>
      </c>
      <c r="L59" s="331"/>
      <c r="M59" s="331"/>
      <c r="N59" s="331"/>
      <c r="O59" s="331"/>
      <c r="P59" s="331"/>
      <c r="Q59" s="331"/>
      <c r="R59" s="331"/>
      <c r="S59" s="331"/>
      <c r="T59" s="331"/>
      <c r="U59" s="331"/>
      <c r="V59" s="331"/>
      <c r="W59" s="331"/>
      <c r="X59" s="331"/>
      <c r="Y59" s="332"/>
      <c r="Z59" s="332"/>
      <c r="AA59" s="332"/>
      <c r="AB59" s="332"/>
      <c r="AC59" s="332"/>
      <c r="AD59" s="332"/>
      <c r="AE59" s="332"/>
      <c r="AF59" s="332"/>
      <c r="AG59" s="332"/>
      <c r="AH59" s="332"/>
      <c r="AI59" s="332"/>
      <c r="AJ59" s="332"/>
      <c r="AK59" s="318"/>
    </row>
    <row r="60" spans="10:41" ht="15.95" customHeight="1">
      <c r="J60" s="317"/>
      <c r="O60" s="329"/>
      <c r="P60" s="329"/>
      <c r="Q60" s="21"/>
      <c r="R60" s="21"/>
      <c r="S60" s="21"/>
      <c r="T60" s="21"/>
      <c r="U60" s="21"/>
      <c r="V60" s="21"/>
      <c r="W60" s="21"/>
      <c r="X60" s="21"/>
      <c r="Y60" s="21"/>
      <c r="Z60" s="21"/>
      <c r="AA60" s="21"/>
      <c r="AB60" s="21"/>
      <c r="AC60" s="21"/>
      <c r="AD60" s="21"/>
      <c r="AE60" s="21"/>
      <c r="AK60" s="318"/>
    </row>
    <row r="61" spans="10:41" ht="15.95" customHeight="1">
      <c r="J61" s="317"/>
      <c r="K61" s="363" t="s">
        <v>1286</v>
      </c>
      <c r="L61" s="364" t="s">
        <v>1508</v>
      </c>
      <c r="M61" s="364"/>
      <c r="N61" s="365"/>
      <c r="O61" s="329"/>
      <c r="P61" s="329"/>
      <c r="Q61" s="21"/>
      <c r="R61" s="21"/>
      <c r="S61" s="21"/>
      <c r="T61" s="21"/>
      <c r="U61" s="21"/>
      <c r="V61" s="21"/>
      <c r="W61" s="21"/>
      <c r="X61" s="21"/>
      <c r="Y61" s="21"/>
      <c r="Z61" s="21"/>
      <c r="AA61" s="21"/>
      <c r="AB61" s="21"/>
      <c r="AC61" s="21"/>
      <c r="AD61" s="21"/>
      <c r="AE61" s="21"/>
      <c r="AK61" s="318"/>
    </row>
    <row r="62" spans="10:41" ht="15.95" customHeight="1">
      <c r="J62" s="317"/>
      <c r="K62" s="364"/>
      <c r="L62" s="364"/>
      <c r="M62" s="364"/>
      <c r="N62" s="365"/>
      <c r="O62" s="329"/>
      <c r="P62" s="329"/>
      <c r="Q62" s="21"/>
      <c r="R62" s="21"/>
      <c r="S62" s="21"/>
      <c r="T62" s="21"/>
      <c r="U62" s="21"/>
      <c r="V62" s="21"/>
      <c r="W62" s="21"/>
      <c r="X62" s="21"/>
      <c r="Y62" s="21"/>
      <c r="Z62" s="21"/>
      <c r="AA62" s="21"/>
      <c r="AB62" s="21"/>
      <c r="AC62" s="21"/>
      <c r="AD62" s="21"/>
      <c r="AE62" s="21"/>
      <c r="AF62" s="21"/>
      <c r="AG62" s="21"/>
      <c r="AH62" s="21"/>
      <c r="AI62" s="21"/>
      <c r="AJ62" s="21"/>
      <c r="AK62" s="318"/>
    </row>
    <row r="63" spans="10:41" ht="15.95" customHeight="1">
      <c r="J63" s="317"/>
      <c r="K63" s="363" t="s">
        <v>1287</v>
      </c>
      <c r="L63" s="364" t="s">
        <v>1509</v>
      </c>
      <c r="M63" s="364"/>
      <c r="N63" s="365"/>
      <c r="O63" s="329"/>
      <c r="P63" s="329"/>
      <c r="Q63" s="21"/>
      <c r="R63" s="21"/>
      <c r="S63" s="21"/>
      <c r="T63" s="21"/>
      <c r="U63" s="21"/>
      <c r="V63" s="21"/>
      <c r="W63" s="21"/>
      <c r="X63" s="21"/>
      <c r="Y63" s="21"/>
      <c r="Z63" s="21"/>
      <c r="AA63" s="21"/>
      <c r="AB63" s="21"/>
      <c r="AC63" s="21"/>
      <c r="AD63" s="21"/>
      <c r="AE63" s="21"/>
      <c r="AJ63" s="21"/>
      <c r="AK63" s="318"/>
    </row>
    <row r="64" spans="10:41" ht="15.95" customHeight="1">
      <c r="J64" s="317"/>
      <c r="K64" s="364"/>
      <c r="L64" s="363" t="s">
        <v>1510</v>
      </c>
      <c r="M64" s="364" t="s">
        <v>1511</v>
      </c>
      <c r="N64" s="365"/>
      <c r="O64" s="329"/>
      <c r="P64" s="329"/>
      <c r="Q64" s="21"/>
      <c r="R64" s="21"/>
      <c r="S64" s="21"/>
      <c r="T64" s="21"/>
      <c r="U64" s="21"/>
      <c r="V64" s="21"/>
      <c r="W64" s="21"/>
      <c r="X64" s="21"/>
      <c r="Y64" s="21"/>
      <c r="Z64" s="21"/>
      <c r="AA64" s="21"/>
      <c r="AB64" s="21"/>
      <c r="AC64" s="21"/>
      <c r="AD64" s="21"/>
      <c r="AE64" s="21"/>
      <c r="AK64" s="288"/>
    </row>
    <row r="65" spans="10:37" ht="15.95" customHeight="1">
      <c r="J65" s="317"/>
      <c r="K65" s="364"/>
      <c r="L65" s="363" t="s">
        <v>1514</v>
      </c>
      <c r="M65" s="364" t="s">
        <v>1513</v>
      </c>
      <c r="N65" s="365"/>
      <c r="O65" s="329"/>
      <c r="P65" s="329"/>
      <c r="Q65" s="21"/>
      <c r="R65" s="21"/>
      <c r="S65" s="21"/>
      <c r="T65" s="21"/>
      <c r="U65" s="21"/>
      <c r="V65" s="21"/>
      <c r="W65" s="21"/>
      <c r="X65" s="21"/>
      <c r="Y65" s="21"/>
      <c r="Z65" s="21"/>
      <c r="AA65" s="21"/>
      <c r="AB65" s="21"/>
      <c r="AC65" s="21"/>
      <c r="AD65" s="21"/>
      <c r="AE65" s="21"/>
      <c r="AJ65" s="21"/>
      <c r="AK65" s="318"/>
    </row>
    <row r="66" spans="10:37" ht="15.95" customHeight="1">
      <c r="J66" s="317"/>
      <c r="K66" s="364"/>
      <c r="L66" s="363" t="s">
        <v>1515</v>
      </c>
      <c r="M66" s="364" t="s">
        <v>1463</v>
      </c>
      <c r="N66" s="365"/>
      <c r="O66" s="329"/>
      <c r="P66" s="329"/>
      <c r="Q66" s="21"/>
      <c r="R66" s="21"/>
      <c r="S66" s="21"/>
      <c r="T66" s="21"/>
      <c r="U66" s="21"/>
      <c r="V66" s="21"/>
      <c r="W66" s="21"/>
      <c r="X66" s="21"/>
      <c r="Y66" s="21"/>
      <c r="Z66" s="21"/>
      <c r="AA66" s="21"/>
      <c r="AB66" s="21"/>
      <c r="AC66" s="21"/>
      <c r="AD66" s="21"/>
      <c r="AE66" s="21"/>
      <c r="AK66" s="318"/>
    </row>
    <row r="67" spans="10:37" ht="15.95" customHeight="1">
      <c r="J67" s="317"/>
      <c r="K67" s="364"/>
      <c r="L67" s="363" t="s">
        <v>1516</v>
      </c>
      <c r="M67" s="364" t="s">
        <v>1465</v>
      </c>
      <c r="N67" s="365"/>
      <c r="O67" s="329"/>
      <c r="P67" s="329"/>
      <c r="Q67" s="21"/>
      <c r="R67" s="21"/>
      <c r="S67" s="21"/>
      <c r="T67" s="21"/>
      <c r="U67" s="21"/>
      <c r="V67" s="21"/>
      <c r="W67" s="21"/>
      <c r="X67" s="21"/>
      <c r="Y67" s="21"/>
      <c r="Z67" s="21"/>
      <c r="AA67" s="21"/>
      <c r="AB67" s="21"/>
      <c r="AC67" s="21"/>
      <c r="AD67" s="21"/>
      <c r="AE67" s="21"/>
      <c r="AK67" s="318"/>
    </row>
    <row r="68" spans="10:37" ht="15.95" customHeight="1">
      <c r="J68" s="317"/>
      <c r="K68" s="364"/>
      <c r="L68" s="363" t="s">
        <v>1517</v>
      </c>
      <c r="M68" s="364" t="s">
        <v>1735</v>
      </c>
      <c r="N68" s="365"/>
      <c r="O68" s="329"/>
      <c r="P68" s="329"/>
      <c r="Q68" s="21"/>
      <c r="R68" s="21"/>
      <c r="S68" s="21"/>
      <c r="T68" s="21"/>
      <c r="U68" s="21"/>
      <c r="V68" s="21"/>
      <c r="W68" s="21"/>
      <c r="X68" s="21"/>
      <c r="Y68" s="21"/>
      <c r="Z68" s="21"/>
      <c r="AA68" s="21"/>
      <c r="AB68" s="21"/>
      <c r="AC68" s="21"/>
      <c r="AD68" s="21"/>
      <c r="AE68" s="21"/>
      <c r="AK68" s="318"/>
    </row>
    <row r="69" spans="10:37" ht="15.95" customHeight="1">
      <c r="J69" s="317"/>
      <c r="K69" s="364"/>
      <c r="L69" s="366"/>
      <c r="M69" s="366"/>
      <c r="N69" s="365"/>
      <c r="O69" s="329"/>
      <c r="P69" s="329"/>
      <c r="Q69" s="21"/>
      <c r="R69" s="21"/>
      <c r="S69" s="21"/>
      <c r="T69" s="21"/>
      <c r="U69" s="21"/>
      <c r="V69" s="21"/>
      <c r="W69" s="21"/>
      <c r="X69" s="21"/>
      <c r="Y69" s="21"/>
      <c r="Z69" s="21"/>
      <c r="AA69" s="21"/>
      <c r="AB69" s="21"/>
      <c r="AC69" s="21"/>
      <c r="AD69" s="21"/>
      <c r="AE69" s="21"/>
      <c r="AF69" s="21"/>
      <c r="AG69" s="21"/>
      <c r="AH69" s="21"/>
      <c r="AI69" s="21"/>
      <c r="AJ69" s="21"/>
      <c r="AK69" s="318"/>
    </row>
    <row r="70" spans="10:37" ht="15.95" customHeight="1">
      <c r="J70" s="317"/>
      <c r="K70" s="363" t="s">
        <v>1462</v>
      </c>
      <c r="L70" s="364" t="s">
        <v>1512</v>
      </c>
      <c r="M70" s="364"/>
      <c r="N70" s="365"/>
      <c r="O70" s="329"/>
      <c r="P70" s="329"/>
      <c r="Q70" s="21"/>
      <c r="R70" s="21"/>
      <c r="S70" s="21"/>
      <c r="T70" s="21"/>
      <c r="U70" s="21"/>
      <c r="V70" s="21"/>
      <c r="W70" s="21"/>
      <c r="X70" s="21"/>
      <c r="Y70" s="21"/>
      <c r="Z70" s="21"/>
      <c r="AA70" s="21"/>
      <c r="AB70" s="21"/>
      <c r="AC70" s="21"/>
      <c r="AD70" s="21"/>
      <c r="AE70" s="21"/>
      <c r="AF70" s="21"/>
      <c r="AG70" s="21"/>
      <c r="AH70" s="21"/>
      <c r="AI70" s="21"/>
      <c r="AJ70" s="21"/>
      <c r="AK70" s="318"/>
    </row>
    <row r="71" spans="10:37" ht="15.95" customHeight="1">
      <c r="J71" s="287"/>
      <c r="K71" s="364"/>
      <c r="L71" s="366"/>
      <c r="M71" s="366"/>
      <c r="N71" s="365"/>
      <c r="O71" s="329"/>
      <c r="P71" s="329"/>
      <c r="Q71" s="21"/>
      <c r="R71" s="21"/>
      <c r="S71" s="21"/>
      <c r="T71" s="21"/>
      <c r="U71" s="21"/>
      <c r="V71" s="21"/>
      <c r="W71" s="21"/>
      <c r="X71" s="21"/>
      <c r="Y71" s="21"/>
      <c r="Z71" s="21"/>
      <c r="AA71" s="21"/>
      <c r="AB71" s="21"/>
      <c r="AC71" s="21"/>
      <c r="AD71" s="21"/>
      <c r="AE71" s="21"/>
      <c r="AF71" s="21"/>
      <c r="AG71" s="21"/>
      <c r="AH71" s="21"/>
      <c r="AI71" s="21"/>
      <c r="AJ71" s="21"/>
      <c r="AK71" s="318"/>
    </row>
    <row r="72" spans="10:37" ht="15.95" customHeight="1">
      <c r="J72" s="287"/>
      <c r="K72" s="363" t="s">
        <v>1464</v>
      </c>
      <c r="L72" s="364" t="s">
        <v>1466</v>
      </c>
      <c r="M72" s="364"/>
      <c r="N72" s="365"/>
      <c r="O72" s="329"/>
      <c r="P72" s="329"/>
      <c r="X72" s="21"/>
      <c r="Y72" s="21"/>
      <c r="Z72" s="21"/>
      <c r="AA72" s="21"/>
      <c r="AB72" s="21"/>
      <c r="AC72" s="21"/>
      <c r="AD72" s="21"/>
      <c r="AE72" s="21"/>
      <c r="AF72" s="21"/>
      <c r="AG72" s="21"/>
      <c r="AH72" s="21"/>
      <c r="AI72" s="21"/>
      <c r="AJ72" s="21"/>
      <c r="AK72" s="318"/>
    </row>
    <row r="73" spans="10:37" ht="15.95" customHeight="1">
      <c r="J73" s="287"/>
      <c r="X73" s="21"/>
      <c r="Y73" s="21"/>
      <c r="Z73" s="21"/>
      <c r="AA73" s="21"/>
      <c r="AB73" s="21"/>
      <c r="AC73" s="21"/>
      <c r="AD73" s="21"/>
      <c r="AE73" s="21"/>
      <c r="AF73" s="21"/>
      <c r="AG73" s="21"/>
      <c r="AH73" s="21"/>
      <c r="AI73" s="21"/>
      <c r="AJ73" s="21"/>
      <c r="AK73" s="318"/>
    </row>
    <row r="74" spans="10:37" ht="15.95" customHeight="1">
      <c r="J74" s="287"/>
      <c r="X74" s="21"/>
      <c r="Y74" s="21"/>
      <c r="Z74" s="21"/>
      <c r="AA74" s="21"/>
      <c r="AB74" s="21"/>
      <c r="AC74" s="21"/>
      <c r="AD74" s="21"/>
      <c r="AE74" s="21"/>
      <c r="AF74" s="21"/>
      <c r="AG74" s="21"/>
      <c r="AH74" s="21"/>
      <c r="AI74" s="21"/>
      <c r="AJ74" s="21"/>
      <c r="AK74" s="318"/>
    </row>
    <row r="75" spans="10:37" ht="15.95" customHeight="1">
      <c r="J75" s="287"/>
      <c r="K75" s="745" t="s">
        <v>1265</v>
      </c>
      <c r="L75" s="745"/>
      <c r="M75" s="745"/>
      <c r="N75" s="745"/>
      <c r="O75" s="745"/>
      <c r="P75" s="745"/>
      <c r="Q75" s="745"/>
      <c r="R75" s="745"/>
      <c r="S75" s="745"/>
      <c r="T75" s="745"/>
      <c r="U75" s="745"/>
      <c r="V75" s="745"/>
      <c r="W75" s="745"/>
      <c r="X75" s="745"/>
      <c r="Y75" s="745"/>
      <c r="Z75" s="745"/>
      <c r="AA75" s="745"/>
      <c r="AB75" s="745"/>
      <c r="AC75" s="745"/>
      <c r="AD75" s="745"/>
      <c r="AE75" s="745"/>
      <c r="AF75" s="745"/>
      <c r="AG75" s="745"/>
      <c r="AH75" s="745"/>
      <c r="AI75" s="745"/>
      <c r="AJ75" s="745"/>
      <c r="AK75" s="319"/>
    </row>
    <row r="76" spans="10:37" ht="15.95" customHeight="1">
      <c r="J76" s="287"/>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319"/>
    </row>
    <row r="77" spans="10:37" ht="15.95" customHeight="1" thickBot="1">
      <c r="J77" s="291"/>
      <c r="K77" s="292"/>
      <c r="L77" s="292"/>
      <c r="M77" s="292"/>
      <c r="N77" s="292"/>
      <c r="O77" s="292"/>
      <c r="P77" s="292"/>
      <c r="Q77" s="292"/>
      <c r="R77" s="292"/>
      <c r="S77" s="292"/>
      <c r="T77" s="292"/>
      <c r="U77" s="292"/>
      <c r="V77" s="292"/>
      <c r="W77" s="292"/>
      <c r="X77" s="292"/>
      <c r="Y77" s="292"/>
      <c r="Z77" s="292"/>
      <c r="AA77" s="292"/>
      <c r="AB77" s="292"/>
      <c r="AC77" s="292"/>
      <c r="AD77" s="292"/>
      <c r="AE77" s="292"/>
      <c r="AF77" s="292"/>
      <c r="AG77" s="292"/>
      <c r="AH77" s="292"/>
      <c r="AI77" s="292"/>
      <c r="AJ77" s="292"/>
      <c r="AK77" s="293"/>
    </row>
    <row r="78" spans="10:37" ht="15.95" customHeight="1" thickBot="1"/>
    <row r="79" spans="10:37" ht="15.95" customHeight="1">
      <c r="J79" s="314"/>
      <c r="K79" s="315"/>
      <c r="L79" s="315"/>
      <c r="M79" s="315"/>
      <c r="N79" s="315"/>
      <c r="O79" s="315"/>
      <c r="P79" s="315"/>
      <c r="Q79" s="315"/>
      <c r="R79" s="315"/>
      <c r="S79" s="315"/>
      <c r="T79" s="315"/>
      <c r="U79" s="315"/>
      <c r="V79" s="315"/>
      <c r="W79" s="315"/>
      <c r="X79" s="315"/>
      <c r="Y79" s="315"/>
      <c r="Z79" s="315"/>
      <c r="AA79" s="315"/>
      <c r="AB79" s="315"/>
      <c r="AC79" s="315"/>
      <c r="AD79" s="315"/>
      <c r="AE79" s="315"/>
      <c r="AF79" s="315"/>
      <c r="AG79" s="315"/>
      <c r="AH79" s="315"/>
      <c r="AI79" s="315"/>
      <c r="AJ79" s="315"/>
      <c r="AK79" s="316"/>
    </row>
    <row r="80" spans="10:37" ht="15.95" hidden="1" customHeight="1">
      <c r="J80" s="287"/>
      <c r="AK80" s="288"/>
    </row>
    <row r="81" spans="10:37" ht="18.75" hidden="1" thickBot="1">
      <c r="J81" s="287"/>
      <c r="K81" s="321" t="s">
        <v>1475</v>
      </c>
      <c r="L81" s="294"/>
      <c r="M81" s="294"/>
      <c r="N81" s="294"/>
      <c r="O81" s="294"/>
      <c r="P81" s="294"/>
      <c r="Q81" s="294"/>
      <c r="R81" s="294"/>
      <c r="S81" s="294"/>
      <c r="T81" s="294"/>
      <c r="U81" s="294"/>
      <c r="V81" s="294"/>
      <c r="W81" s="294"/>
      <c r="X81" s="294"/>
      <c r="Y81" s="294"/>
      <c r="Z81" s="294"/>
      <c r="AA81" s="294"/>
      <c r="AB81" s="294"/>
      <c r="AC81" s="294"/>
      <c r="AD81" s="294"/>
      <c r="AE81" s="294"/>
      <c r="AF81" s="284"/>
      <c r="AG81" s="284"/>
      <c r="AH81" s="284"/>
      <c r="AI81" s="284"/>
      <c r="AJ81" s="369" t="s">
        <v>1520</v>
      </c>
      <c r="AK81" s="288"/>
    </row>
    <row r="82" spans="10:37" ht="18" hidden="1" customHeight="1">
      <c r="J82" s="287"/>
      <c r="K82" s="367" t="s">
        <v>2237</v>
      </c>
      <c r="L82" s="84"/>
      <c r="M82" s="84"/>
      <c r="N82" s="84"/>
      <c r="O82" s="84"/>
      <c r="P82" s="84"/>
      <c r="Q82" s="84"/>
      <c r="R82" s="84"/>
      <c r="S82" s="84"/>
      <c r="T82" s="84"/>
      <c r="U82" s="84"/>
      <c r="V82" s="84"/>
      <c r="W82" s="84"/>
      <c r="X82" s="84"/>
      <c r="Y82" s="84"/>
      <c r="Z82" s="84"/>
      <c r="AA82" s="84"/>
      <c r="AB82" s="84"/>
      <c r="AC82" s="84"/>
      <c r="AD82" s="84"/>
      <c r="AE82" s="84"/>
      <c r="AF82" s="351" t="s">
        <v>1472</v>
      </c>
      <c r="AG82" s="397" t="s">
        <v>323</v>
      </c>
      <c r="AI82" s="84"/>
      <c r="AJ82" s="84"/>
      <c r="AK82" s="288"/>
    </row>
    <row r="83" spans="10:37" ht="18" hidden="1" customHeight="1">
      <c r="J83" s="287"/>
      <c r="K83" s="367" t="s">
        <v>1750</v>
      </c>
      <c r="L83" s="84"/>
      <c r="M83" s="84"/>
      <c r="N83" s="84"/>
      <c r="O83" s="84"/>
      <c r="P83" s="84"/>
      <c r="Q83" s="84"/>
      <c r="R83" s="84"/>
      <c r="S83" s="84"/>
      <c r="T83" s="84"/>
      <c r="U83" s="84"/>
      <c r="V83" s="84"/>
      <c r="W83" s="84"/>
      <c r="X83" s="84"/>
      <c r="Y83" s="84"/>
      <c r="Z83" s="84"/>
      <c r="AA83" s="84"/>
      <c r="AB83" s="84"/>
      <c r="AC83" s="84"/>
      <c r="AD83" s="84"/>
      <c r="AE83" s="84"/>
      <c r="AF83" s="351" t="s">
        <v>1477</v>
      </c>
      <c r="AG83" s="84"/>
      <c r="AH83" s="84"/>
      <c r="AI83" s="84"/>
      <c r="AJ83" s="84"/>
      <c r="AK83" s="288"/>
    </row>
    <row r="84" spans="10:37" ht="18" hidden="1" customHeight="1">
      <c r="J84" s="289"/>
      <c r="K84" s="84" t="s">
        <v>1751</v>
      </c>
      <c r="L84" s="84"/>
      <c r="M84" s="84"/>
      <c r="N84" s="84"/>
      <c r="O84" s="84"/>
      <c r="P84" s="83"/>
      <c r="Q84" s="83"/>
      <c r="R84" s="83"/>
      <c r="S84" s="83"/>
      <c r="T84" s="83"/>
      <c r="U84" s="83"/>
      <c r="V84" s="83"/>
      <c r="W84" s="83"/>
      <c r="X84" s="83"/>
      <c r="Y84" s="84"/>
      <c r="Z84" s="83"/>
      <c r="AA84" s="83"/>
      <c r="AB84" s="83"/>
      <c r="AC84" s="83"/>
      <c r="AD84" s="83"/>
      <c r="AE84" s="83"/>
      <c r="AF84" s="351" t="s">
        <v>1521</v>
      </c>
      <c r="AG84" s="84"/>
      <c r="AH84" s="84"/>
      <c r="AI84" s="84"/>
      <c r="AJ84" s="84"/>
      <c r="AK84" s="288"/>
    </row>
    <row r="85" spans="10:37" ht="15.95" hidden="1" customHeight="1">
      <c r="J85" s="289"/>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288"/>
    </row>
    <row r="86" spans="10:37" ht="15.95" hidden="1" customHeight="1">
      <c r="J86" s="289"/>
      <c r="K86" s="367" t="s">
        <v>1522</v>
      </c>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288"/>
    </row>
    <row r="87" spans="10:37" ht="15.95" hidden="1" customHeight="1">
      <c r="J87" s="289"/>
      <c r="K87" s="639" t="s">
        <v>1457</v>
      </c>
      <c r="L87" s="639"/>
      <c r="M87" s="639"/>
      <c r="N87" s="639"/>
      <c r="O87" s="639" t="str">
        <f>IF(N02S03F34="","",N02S03F34)</f>
        <v/>
      </c>
      <c r="P87" s="639"/>
      <c r="Q87" s="639"/>
      <c r="R87" s="639"/>
      <c r="S87" s="639"/>
      <c r="T87" s="639"/>
      <c r="U87" s="83"/>
      <c r="V87" s="83"/>
      <c r="W87" s="83"/>
      <c r="X87" s="83"/>
      <c r="Y87" s="83"/>
      <c r="Z87" s="83"/>
      <c r="AA87" s="83"/>
      <c r="AB87" s="83"/>
      <c r="AC87" s="83"/>
      <c r="AD87" s="83"/>
      <c r="AE87" s="83"/>
      <c r="AF87" s="83"/>
      <c r="AG87" s="83"/>
      <c r="AH87" s="83"/>
      <c r="AI87" s="83"/>
      <c r="AJ87" s="83"/>
      <c r="AK87" s="290"/>
    </row>
    <row r="88" spans="10:37" ht="15.95" hidden="1" customHeight="1">
      <c r="J88" s="287"/>
      <c r="K88" s="639" t="s">
        <v>1467</v>
      </c>
      <c r="L88" s="639"/>
      <c r="M88" s="639"/>
      <c r="N88" s="639"/>
      <c r="O88" s="746" t="str">
        <f>IF(N02S03F31="","",N02S03F31)</f>
        <v/>
      </c>
      <c r="P88" s="746"/>
      <c r="Q88" s="746"/>
      <c r="R88" s="746"/>
      <c r="S88" s="746"/>
      <c r="T88" s="746"/>
      <c r="U88" s="83"/>
      <c r="V88" s="83"/>
      <c r="W88" s="83"/>
      <c r="X88" s="83"/>
      <c r="Y88" s="83"/>
      <c r="Z88" s="83"/>
      <c r="AA88" s="83"/>
      <c r="AB88" s="83"/>
      <c r="AC88" s="83"/>
      <c r="AD88" s="83"/>
      <c r="AE88" s="83"/>
      <c r="AF88" s="83"/>
      <c r="AG88" s="83"/>
      <c r="AH88" s="83"/>
      <c r="AI88" s="83"/>
      <c r="AJ88" s="83"/>
      <c r="AK88" s="288"/>
    </row>
    <row r="89" spans="10:37" ht="15.95" hidden="1" customHeight="1">
      <c r="J89" s="287"/>
      <c r="K89" s="747" t="s">
        <v>1468</v>
      </c>
      <c r="L89" s="747"/>
      <c r="M89" s="747"/>
      <c r="N89" s="747"/>
      <c r="O89" s="85" t="str">
        <f t="array" aca="1" ref="O89" ca="1">IFERROR(INDEX(LPDWATT[],MATCH(N02S03F34,LPDWATT[Building Area Type],0),MATCH(NEWCONCODE,LPDWATT[#Headers],0)),"")</f>
        <v/>
      </c>
      <c r="P89" s="84"/>
      <c r="Q89" s="83"/>
      <c r="R89" s="83"/>
      <c r="S89" s="84"/>
      <c r="T89" s="84"/>
      <c r="U89" s="83"/>
      <c r="V89" s="83"/>
      <c r="W89" s="83"/>
      <c r="X89" s="83"/>
      <c r="Y89" s="83"/>
      <c r="Z89" s="83"/>
      <c r="AA89" s="83"/>
      <c r="AB89" s="83"/>
      <c r="AC89" s="83"/>
      <c r="AD89" s="83"/>
      <c r="AE89" s="83"/>
      <c r="AF89" s="83"/>
      <c r="AG89" s="83"/>
      <c r="AH89" s="83"/>
      <c r="AI89" s="83"/>
      <c r="AJ89" s="83"/>
      <c r="AK89" s="288"/>
    </row>
    <row r="90" spans="10:37" ht="15.95" hidden="1" customHeight="1">
      <c r="J90" s="287"/>
      <c r="K90" s="747" t="s">
        <v>1469</v>
      </c>
      <c r="L90" s="747"/>
      <c r="M90" s="747"/>
      <c r="N90" s="747"/>
      <c r="O90" s="746" t="str">
        <f ca="1">IFERROR(N02S03F31*O89,"")</f>
        <v/>
      </c>
      <c r="P90" s="746"/>
      <c r="Q90" s="746"/>
      <c r="R90" s="746"/>
      <c r="S90" s="83"/>
      <c r="T90" s="83"/>
      <c r="U90" s="83"/>
      <c r="V90" s="83"/>
      <c r="W90" s="83"/>
      <c r="X90" s="83"/>
      <c r="Y90" s="83"/>
      <c r="Z90" s="83"/>
      <c r="AA90" s="83"/>
      <c r="AB90" s="83"/>
      <c r="AC90" s="83"/>
      <c r="AD90" s="83"/>
      <c r="AE90" s="83"/>
      <c r="AF90" s="83"/>
      <c r="AG90" s="83"/>
      <c r="AH90" s="83"/>
      <c r="AI90" s="83"/>
      <c r="AJ90" s="83"/>
      <c r="AK90" s="288"/>
    </row>
    <row r="91" spans="10:37" ht="15.95" hidden="1" customHeight="1">
      <c r="J91" s="287"/>
      <c r="K91" s="84" t="s">
        <v>1473</v>
      </c>
      <c r="L91" s="84"/>
      <c r="M91" s="84"/>
      <c r="N91" s="84"/>
      <c r="O91" s="84"/>
      <c r="P91" s="84"/>
      <c r="Q91" s="746" t="str">
        <f ca="1">IFERROR(O90*0.9,"")</f>
        <v/>
      </c>
      <c r="R91" s="746"/>
      <c r="S91" s="746"/>
      <c r="T91" s="746"/>
      <c r="U91" s="83"/>
      <c r="V91" s="83"/>
      <c r="W91" s="83"/>
      <c r="X91" s="83"/>
      <c r="Y91" s="83"/>
      <c r="Z91" s="83"/>
      <c r="AA91" s="83"/>
      <c r="AB91" s="83"/>
      <c r="AC91" s="83"/>
      <c r="AD91" s="83"/>
      <c r="AE91" s="83"/>
      <c r="AF91" s="83"/>
      <c r="AG91" s="83"/>
      <c r="AH91" s="83"/>
      <c r="AI91" s="83"/>
      <c r="AJ91" s="83"/>
      <c r="AK91" s="288"/>
    </row>
    <row r="92" spans="10:37" ht="15.95" hidden="1" customHeight="1">
      <c r="J92" s="287"/>
      <c r="K92" s="368" t="s">
        <v>1523</v>
      </c>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288"/>
    </row>
    <row r="93" spans="10:37" ht="15.95" hidden="1" customHeight="1">
      <c r="J93" s="287"/>
      <c r="K93" s="368"/>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288"/>
    </row>
    <row r="94" spans="10:37" ht="15.95" hidden="1" customHeight="1">
      <c r="J94" s="287"/>
      <c r="K94" s="367" t="s">
        <v>1894</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288"/>
    </row>
    <row r="95" spans="10:37" ht="15.95" hidden="1" customHeight="1">
      <c r="J95" s="287"/>
      <c r="K95" s="723"/>
      <c r="L95" s="724"/>
      <c r="M95" s="724"/>
      <c r="N95" s="724"/>
      <c r="O95" s="724"/>
      <c r="P95" s="724"/>
      <c r="Q95" s="724"/>
      <c r="R95" s="724"/>
      <c r="S95" s="724"/>
      <c r="T95" s="724"/>
      <c r="U95" s="724"/>
      <c r="V95" s="724"/>
      <c r="W95" s="724"/>
      <c r="X95" s="724"/>
      <c r="Y95" s="724"/>
      <c r="Z95" s="724"/>
      <c r="AA95" s="724"/>
      <c r="AB95" s="724"/>
      <c r="AC95" s="724"/>
      <c r="AD95" s="724"/>
      <c r="AE95" s="724"/>
      <c r="AF95" s="724"/>
      <c r="AG95" s="724"/>
      <c r="AH95" s="724"/>
      <c r="AI95" s="724"/>
      <c r="AJ95" s="725"/>
      <c r="AK95" s="288"/>
    </row>
    <row r="96" spans="10:37" ht="15.95" hidden="1" customHeight="1">
      <c r="J96" s="287"/>
      <c r="K96" s="726"/>
      <c r="L96" s="682"/>
      <c r="M96" s="682"/>
      <c r="N96" s="682"/>
      <c r="O96" s="682"/>
      <c r="P96" s="682"/>
      <c r="Q96" s="682"/>
      <c r="R96" s="682"/>
      <c r="S96" s="682"/>
      <c r="T96" s="682"/>
      <c r="U96" s="682"/>
      <c r="V96" s="682"/>
      <c r="W96" s="682"/>
      <c r="X96" s="682"/>
      <c r="Y96" s="682"/>
      <c r="Z96" s="682"/>
      <c r="AA96" s="682"/>
      <c r="AB96" s="682"/>
      <c r="AC96" s="682"/>
      <c r="AD96" s="682"/>
      <c r="AE96" s="682"/>
      <c r="AF96" s="682"/>
      <c r="AG96" s="682"/>
      <c r="AH96" s="682"/>
      <c r="AI96" s="682"/>
      <c r="AJ96" s="727"/>
      <c r="AK96" s="288"/>
    </row>
    <row r="97" spans="10:37" ht="15.95" hidden="1" customHeight="1">
      <c r="J97" s="287"/>
      <c r="K97" s="728"/>
      <c r="L97" s="729"/>
      <c r="M97" s="729"/>
      <c r="N97" s="729"/>
      <c r="O97" s="729"/>
      <c r="P97" s="729"/>
      <c r="Q97" s="729"/>
      <c r="R97" s="729"/>
      <c r="S97" s="729"/>
      <c r="T97" s="729"/>
      <c r="U97" s="729"/>
      <c r="V97" s="729"/>
      <c r="W97" s="729"/>
      <c r="X97" s="729"/>
      <c r="Y97" s="729"/>
      <c r="Z97" s="729"/>
      <c r="AA97" s="729"/>
      <c r="AB97" s="729"/>
      <c r="AC97" s="729"/>
      <c r="AD97" s="729"/>
      <c r="AE97" s="729"/>
      <c r="AF97" s="729"/>
      <c r="AG97" s="729"/>
      <c r="AH97" s="729"/>
      <c r="AI97" s="729"/>
      <c r="AJ97" s="730"/>
      <c r="AK97" s="288"/>
    </row>
    <row r="98" spans="10:37" ht="15.95" customHeight="1">
      <c r="J98" s="287"/>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88"/>
    </row>
    <row r="99" spans="10:37" ht="19.5" customHeight="1" thickBot="1">
      <c r="J99" s="287"/>
      <c r="K99" s="322" t="s">
        <v>1471</v>
      </c>
      <c r="L99" s="294"/>
      <c r="M99" s="294"/>
      <c r="N99" s="294"/>
      <c r="O99" s="294"/>
      <c r="P99" s="294"/>
      <c r="Q99" s="294"/>
      <c r="R99" s="294"/>
      <c r="S99" s="294"/>
      <c r="T99" s="294"/>
      <c r="U99" s="294"/>
      <c r="V99" s="294"/>
      <c r="W99" s="294"/>
      <c r="X99" s="294"/>
      <c r="Y99" s="294"/>
      <c r="Z99" s="294"/>
      <c r="AA99" s="294"/>
      <c r="AB99" s="294"/>
      <c r="AC99" s="294"/>
      <c r="AD99" s="294"/>
      <c r="AE99" s="294"/>
      <c r="AF99" s="284"/>
      <c r="AG99" s="284"/>
      <c r="AH99" s="284"/>
      <c r="AI99" s="284"/>
      <c r="AJ99" s="369" t="s">
        <v>1520</v>
      </c>
      <c r="AK99" s="288"/>
    </row>
    <row r="100" spans="10:37" ht="18" customHeight="1">
      <c r="J100" s="287"/>
      <c r="K100" s="367" t="s">
        <v>1752</v>
      </c>
      <c r="L100" s="84"/>
      <c r="M100" s="84"/>
      <c r="N100" s="84"/>
      <c r="O100" s="84"/>
      <c r="P100" s="84"/>
      <c r="Q100" s="84"/>
      <c r="R100" s="84"/>
      <c r="S100" s="84"/>
      <c r="T100" s="84"/>
      <c r="U100" s="84"/>
      <c r="V100" s="84"/>
      <c r="W100" s="84"/>
      <c r="X100" s="84"/>
      <c r="Y100" s="84"/>
      <c r="Z100" s="84"/>
      <c r="AA100" s="84"/>
      <c r="AB100" s="84"/>
      <c r="AC100" s="84"/>
      <c r="AD100" s="84"/>
      <c r="AE100" s="84"/>
      <c r="AF100" s="351" t="s">
        <v>1472</v>
      </c>
      <c r="AG100" s="397" t="s">
        <v>323</v>
      </c>
      <c r="AH100" s="84"/>
      <c r="AI100" s="84"/>
      <c r="AJ100" s="84"/>
      <c r="AK100" s="288"/>
    </row>
    <row r="101" spans="10:37" ht="18" customHeight="1">
      <c r="J101" s="287"/>
      <c r="K101" s="367" t="s">
        <v>1912</v>
      </c>
      <c r="L101" s="84"/>
      <c r="M101" s="84"/>
      <c r="N101" s="84"/>
      <c r="O101" s="84"/>
      <c r="P101" s="84"/>
      <c r="Q101" s="84"/>
      <c r="R101" s="84"/>
      <c r="S101" s="84"/>
      <c r="T101" s="84"/>
      <c r="U101" s="84"/>
      <c r="V101" s="84"/>
      <c r="W101" s="84"/>
      <c r="X101" s="84"/>
      <c r="Y101" s="84"/>
      <c r="Z101" s="84"/>
      <c r="AA101" s="84"/>
      <c r="AB101" s="84"/>
      <c r="AC101" s="84"/>
      <c r="AD101" s="84"/>
      <c r="AE101" s="84"/>
      <c r="AF101" s="351" t="s">
        <v>1477</v>
      </c>
      <c r="AG101" s="84"/>
      <c r="AH101" s="84"/>
      <c r="AI101" s="84"/>
      <c r="AJ101" s="84"/>
      <c r="AK101" s="288"/>
    </row>
    <row r="102" spans="10:37" ht="15.95" customHeight="1">
      <c r="J102" s="287"/>
      <c r="K102" s="370"/>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288"/>
    </row>
    <row r="103" spans="10:37" ht="15.95" customHeight="1">
      <c r="J103" s="287"/>
      <c r="K103" s="367" t="s">
        <v>1830</v>
      </c>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288"/>
    </row>
    <row r="104" spans="10:37" ht="15.95" customHeight="1">
      <c r="J104" s="287"/>
      <c r="K104" s="84"/>
      <c r="L104" s="84" t="s">
        <v>27</v>
      </c>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288"/>
    </row>
    <row r="105" spans="10:37" ht="15.95" customHeight="1">
      <c r="J105" s="287"/>
      <c r="K105" s="84"/>
      <c r="L105" s="84" t="s">
        <v>1303</v>
      </c>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288"/>
    </row>
    <row r="106" spans="10:37" ht="15.95" customHeight="1">
      <c r="J106" s="287"/>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288"/>
    </row>
    <row r="107" spans="10:37" ht="15.95" customHeight="1">
      <c r="J107" s="287"/>
      <c r="K107" s="367" t="s">
        <v>1893</v>
      </c>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288"/>
    </row>
    <row r="108" spans="10:37" ht="15.95" customHeight="1">
      <c r="J108" s="287"/>
      <c r="K108" s="731"/>
      <c r="L108" s="732"/>
      <c r="M108" s="732"/>
      <c r="N108" s="732"/>
      <c r="O108" s="732"/>
      <c r="P108" s="732"/>
      <c r="Q108" s="732"/>
      <c r="R108" s="732"/>
      <c r="S108" s="732"/>
      <c r="T108" s="732"/>
      <c r="U108" s="732"/>
      <c r="V108" s="732"/>
      <c r="W108" s="732"/>
      <c r="X108" s="732"/>
      <c r="Y108" s="732"/>
      <c r="Z108" s="732"/>
      <c r="AA108" s="732"/>
      <c r="AB108" s="732"/>
      <c r="AC108" s="732"/>
      <c r="AD108" s="732"/>
      <c r="AE108" s="732"/>
      <c r="AF108" s="732"/>
      <c r="AG108" s="732"/>
      <c r="AH108" s="732"/>
      <c r="AI108" s="732"/>
      <c r="AJ108" s="733"/>
      <c r="AK108" s="288"/>
    </row>
    <row r="109" spans="10:37" ht="15.95" customHeight="1">
      <c r="J109" s="287"/>
      <c r="K109" s="734"/>
      <c r="L109" s="735"/>
      <c r="M109" s="735"/>
      <c r="N109" s="735"/>
      <c r="O109" s="735"/>
      <c r="P109" s="735"/>
      <c r="Q109" s="735"/>
      <c r="R109" s="735"/>
      <c r="S109" s="735"/>
      <c r="T109" s="735"/>
      <c r="U109" s="735"/>
      <c r="V109" s="735"/>
      <c r="W109" s="735"/>
      <c r="X109" s="735"/>
      <c r="Y109" s="735"/>
      <c r="Z109" s="735"/>
      <c r="AA109" s="735"/>
      <c r="AB109" s="735"/>
      <c r="AC109" s="735"/>
      <c r="AD109" s="735"/>
      <c r="AE109" s="735"/>
      <c r="AF109" s="735"/>
      <c r="AG109" s="735"/>
      <c r="AH109" s="735"/>
      <c r="AI109" s="735"/>
      <c r="AJ109" s="736"/>
      <c r="AK109" s="288"/>
    </row>
    <row r="110" spans="10:37" ht="15.95" customHeight="1">
      <c r="J110" s="287"/>
      <c r="K110" s="734"/>
      <c r="L110" s="735"/>
      <c r="M110" s="735"/>
      <c r="N110" s="735"/>
      <c r="O110" s="735"/>
      <c r="P110" s="735"/>
      <c r="Q110" s="735"/>
      <c r="R110" s="735"/>
      <c r="S110" s="735"/>
      <c r="T110" s="735"/>
      <c r="U110" s="735"/>
      <c r="V110" s="735"/>
      <c r="W110" s="735"/>
      <c r="X110" s="735"/>
      <c r="Y110" s="735"/>
      <c r="Z110" s="735"/>
      <c r="AA110" s="735"/>
      <c r="AB110" s="735"/>
      <c r="AC110" s="735"/>
      <c r="AD110" s="735"/>
      <c r="AE110" s="735"/>
      <c r="AF110" s="735"/>
      <c r="AG110" s="735"/>
      <c r="AH110" s="735"/>
      <c r="AI110" s="735"/>
      <c r="AJ110" s="736"/>
      <c r="AK110" s="288"/>
    </row>
    <row r="111" spans="10:37" ht="15.95" customHeight="1">
      <c r="J111" s="287"/>
      <c r="K111" s="737"/>
      <c r="L111" s="738"/>
      <c r="M111" s="738"/>
      <c r="N111" s="738"/>
      <c r="O111" s="738"/>
      <c r="P111" s="738"/>
      <c r="Q111" s="738"/>
      <c r="R111" s="738"/>
      <c r="S111" s="738"/>
      <c r="T111" s="738"/>
      <c r="U111" s="738"/>
      <c r="V111" s="738"/>
      <c r="W111" s="738"/>
      <c r="X111" s="738"/>
      <c r="Y111" s="738"/>
      <c r="Z111" s="738"/>
      <c r="AA111" s="738"/>
      <c r="AB111" s="738"/>
      <c r="AC111" s="738"/>
      <c r="AD111" s="738"/>
      <c r="AE111" s="738"/>
      <c r="AF111" s="738"/>
      <c r="AG111" s="738"/>
      <c r="AH111" s="738"/>
      <c r="AI111" s="738"/>
      <c r="AJ111" s="739"/>
      <c r="AK111" s="288"/>
    </row>
    <row r="112" spans="10:37" ht="15.95" customHeight="1">
      <c r="J112" s="287"/>
      <c r="AK112" s="288"/>
    </row>
    <row r="113" spans="10:37" ht="15.95" customHeight="1" thickBot="1">
      <c r="J113" s="287"/>
      <c r="K113" s="322" t="s">
        <v>1470</v>
      </c>
      <c r="L113" s="294"/>
      <c r="M113" s="294"/>
      <c r="N113" s="294"/>
      <c r="O113" s="294"/>
      <c r="P113" s="294"/>
      <c r="Q113" s="294"/>
      <c r="R113" s="294"/>
      <c r="S113" s="294"/>
      <c r="T113" s="294"/>
      <c r="U113" s="294"/>
      <c r="V113" s="294"/>
      <c r="W113" s="294"/>
      <c r="X113" s="294"/>
      <c r="Y113" s="294"/>
      <c r="Z113" s="294"/>
      <c r="AA113" s="294"/>
      <c r="AB113" s="294"/>
      <c r="AC113" s="294"/>
      <c r="AD113" s="294"/>
      <c r="AE113" s="294"/>
      <c r="AF113" s="284"/>
      <c r="AG113" s="284"/>
      <c r="AH113" s="284"/>
      <c r="AI113" s="284"/>
      <c r="AJ113" s="369" t="s">
        <v>270</v>
      </c>
      <c r="AK113" s="288"/>
    </row>
    <row r="114" spans="10:37" ht="18" customHeight="1">
      <c r="J114" s="287"/>
      <c r="K114" s="367" t="s">
        <v>1754</v>
      </c>
      <c r="L114" s="84"/>
      <c r="M114" s="84"/>
      <c r="N114" s="84"/>
      <c r="O114" s="84"/>
      <c r="P114" s="84"/>
      <c r="Q114" s="84"/>
      <c r="R114" s="84"/>
      <c r="S114" s="84"/>
      <c r="T114" s="84"/>
      <c r="U114" s="84"/>
      <c r="V114" s="84"/>
      <c r="W114" s="84"/>
      <c r="X114" s="84"/>
      <c r="Y114" s="84"/>
      <c r="Z114" s="84"/>
      <c r="AA114" s="84"/>
      <c r="AB114" s="84"/>
      <c r="AC114" s="84"/>
      <c r="AD114" s="84"/>
      <c r="AE114" s="84"/>
      <c r="AF114" s="351" t="s">
        <v>1472</v>
      </c>
      <c r="AG114" s="397" t="s">
        <v>323</v>
      </c>
      <c r="AH114" s="84"/>
      <c r="AI114" s="84"/>
      <c r="AJ114" s="84"/>
      <c r="AK114" s="288"/>
    </row>
    <row r="115" spans="10:37" ht="18" customHeight="1">
      <c r="J115" s="287"/>
      <c r="K115" s="367" t="s">
        <v>1753</v>
      </c>
      <c r="L115" s="84"/>
      <c r="M115" s="84"/>
      <c r="N115" s="84"/>
      <c r="O115" s="84"/>
      <c r="P115" s="84"/>
      <c r="Q115" s="84"/>
      <c r="R115" s="84"/>
      <c r="S115" s="84"/>
      <c r="T115" s="84"/>
      <c r="U115" s="84"/>
      <c r="V115" s="84"/>
      <c r="W115" s="84"/>
      <c r="X115" s="84"/>
      <c r="Y115" s="84"/>
      <c r="Z115" s="84"/>
      <c r="AA115" s="84"/>
      <c r="AB115" s="84"/>
      <c r="AC115" s="84"/>
      <c r="AD115" s="84"/>
      <c r="AE115" s="84"/>
      <c r="AF115" s="351" t="s">
        <v>1477</v>
      </c>
      <c r="AG115" s="84"/>
      <c r="AH115" s="84"/>
      <c r="AI115" s="84"/>
      <c r="AJ115" s="84"/>
      <c r="AK115" s="288"/>
    </row>
    <row r="116" spans="10:37" ht="15.95" customHeight="1">
      <c r="J116" s="287"/>
      <c r="AK116" s="288"/>
    </row>
    <row r="117" spans="10:37" ht="15.95" customHeight="1">
      <c r="J117" s="287"/>
      <c r="K117" s="367" t="s">
        <v>1518</v>
      </c>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288"/>
    </row>
    <row r="118" spans="10:37" ht="15.95" customHeight="1">
      <c r="J118" s="287"/>
      <c r="K118" s="723"/>
      <c r="L118" s="724"/>
      <c r="M118" s="724"/>
      <c r="N118" s="724"/>
      <c r="O118" s="724"/>
      <c r="P118" s="724"/>
      <c r="Q118" s="724"/>
      <c r="R118" s="724"/>
      <c r="S118" s="724"/>
      <c r="T118" s="724"/>
      <c r="U118" s="724"/>
      <c r="V118" s="724"/>
      <c r="W118" s="724"/>
      <c r="X118" s="724"/>
      <c r="Y118" s="724"/>
      <c r="Z118" s="724"/>
      <c r="AA118" s="724"/>
      <c r="AB118" s="724"/>
      <c r="AC118" s="724"/>
      <c r="AD118" s="724"/>
      <c r="AE118" s="724"/>
      <c r="AF118" s="724"/>
      <c r="AG118" s="724"/>
      <c r="AH118" s="724"/>
      <c r="AI118" s="724"/>
      <c r="AJ118" s="725"/>
      <c r="AK118" s="288"/>
    </row>
    <row r="119" spans="10:37" ht="15.95" customHeight="1">
      <c r="J119" s="287"/>
      <c r="K119" s="726"/>
      <c r="L119" s="682"/>
      <c r="M119" s="682"/>
      <c r="N119" s="682"/>
      <c r="O119" s="682"/>
      <c r="P119" s="682"/>
      <c r="Q119" s="682"/>
      <c r="R119" s="682"/>
      <c r="S119" s="682"/>
      <c r="T119" s="682"/>
      <c r="U119" s="682"/>
      <c r="V119" s="682"/>
      <c r="W119" s="682"/>
      <c r="X119" s="682"/>
      <c r="Y119" s="682"/>
      <c r="Z119" s="682"/>
      <c r="AA119" s="682"/>
      <c r="AB119" s="682"/>
      <c r="AC119" s="682"/>
      <c r="AD119" s="682"/>
      <c r="AE119" s="682"/>
      <c r="AF119" s="682"/>
      <c r="AG119" s="682"/>
      <c r="AH119" s="682"/>
      <c r="AI119" s="682"/>
      <c r="AJ119" s="727"/>
      <c r="AK119" s="288"/>
    </row>
    <row r="120" spans="10:37" ht="15.95" customHeight="1">
      <c r="J120" s="287"/>
      <c r="K120" s="728"/>
      <c r="L120" s="729"/>
      <c r="M120" s="729"/>
      <c r="N120" s="729"/>
      <c r="O120" s="729"/>
      <c r="P120" s="729"/>
      <c r="Q120" s="729"/>
      <c r="R120" s="729"/>
      <c r="S120" s="729"/>
      <c r="T120" s="729"/>
      <c r="U120" s="729"/>
      <c r="V120" s="729"/>
      <c r="W120" s="729"/>
      <c r="X120" s="729"/>
      <c r="Y120" s="729"/>
      <c r="Z120" s="729"/>
      <c r="AA120" s="729"/>
      <c r="AB120" s="729"/>
      <c r="AC120" s="729"/>
      <c r="AD120" s="729"/>
      <c r="AE120" s="729"/>
      <c r="AF120" s="729"/>
      <c r="AG120" s="729"/>
      <c r="AH120" s="729"/>
      <c r="AI120" s="729"/>
      <c r="AJ120" s="730"/>
      <c r="AK120" s="318"/>
    </row>
    <row r="121" spans="10:37" ht="15.95" customHeight="1">
      <c r="J121" s="287"/>
      <c r="AK121" s="318"/>
    </row>
    <row r="122" spans="10:37" ht="19.5" customHeight="1" thickBot="1">
      <c r="J122" s="287"/>
      <c r="K122" s="322" t="s">
        <v>1474</v>
      </c>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369" t="s">
        <v>1520</v>
      </c>
      <c r="AK122" s="288"/>
    </row>
    <row r="123" spans="10:37" ht="18" customHeight="1">
      <c r="J123" s="287"/>
      <c r="K123" s="367" t="s">
        <v>1755</v>
      </c>
      <c r="L123" s="84"/>
      <c r="M123" s="84"/>
      <c r="N123" s="84"/>
      <c r="O123" s="84"/>
      <c r="P123" s="84"/>
      <c r="Q123" s="84"/>
      <c r="R123" s="84"/>
      <c r="S123" s="84"/>
      <c r="T123" s="84"/>
      <c r="U123" s="84"/>
      <c r="V123" s="84"/>
      <c r="W123" s="748" t="s">
        <v>1779</v>
      </c>
      <c r="X123" s="749"/>
      <c r="Y123" s="749"/>
      <c r="Z123" s="749"/>
      <c r="AA123" s="749"/>
      <c r="AB123" s="749" t="s">
        <v>1782</v>
      </c>
      <c r="AC123" s="751"/>
      <c r="AD123" s="84"/>
      <c r="AE123" s="84"/>
      <c r="AF123" s="351" t="s">
        <v>1472</v>
      </c>
      <c r="AG123" s="397" t="s">
        <v>323</v>
      </c>
      <c r="AH123" s="84"/>
      <c r="AI123" s="84"/>
      <c r="AJ123" s="84"/>
      <c r="AK123" s="288"/>
    </row>
    <row r="124" spans="10:37" ht="18" customHeight="1">
      <c r="J124" s="287"/>
      <c r="K124" s="367" t="s">
        <v>1756</v>
      </c>
      <c r="L124" s="84"/>
      <c r="M124" s="84"/>
      <c r="N124" s="84"/>
      <c r="O124" s="84"/>
      <c r="P124" s="84"/>
      <c r="Q124" s="84"/>
      <c r="R124" s="84"/>
      <c r="S124" s="84"/>
      <c r="T124" s="84"/>
      <c r="U124" s="84"/>
      <c r="V124" s="84"/>
      <c r="W124" s="750" t="s">
        <v>1780</v>
      </c>
      <c r="X124" s="719"/>
      <c r="Y124" s="719"/>
      <c r="Z124" s="719"/>
      <c r="AA124" s="719"/>
      <c r="AB124" s="719" t="s">
        <v>1781</v>
      </c>
      <c r="AC124" s="720"/>
      <c r="AD124" s="84"/>
      <c r="AE124" s="84"/>
      <c r="AF124" s="351" t="s">
        <v>1477</v>
      </c>
      <c r="AG124" s="84"/>
      <c r="AH124" s="84"/>
      <c r="AI124" s="84"/>
      <c r="AJ124" s="84"/>
      <c r="AK124" s="288"/>
    </row>
    <row r="125" spans="10:37" ht="15.95" customHeight="1">
      <c r="J125" s="287"/>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288"/>
    </row>
    <row r="126" spans="10:37" ht="15.95" customHeight="1">
      <c r="J126" s="287"/>
      <c r="K126" s="367" t="s">
        <v>1476</v>
      </c>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288"/>
    </row>
    <row r="127" spans="10:37" ht="15.95" customHeight="1">
      <c r="J127" s="287"/>
      <c r="K127" s="723"/>
      <c r="L127" s="724"/>
      <c r="M127" s="724"/>
      <c r="N127" s="724"/>
      <c r="O127" s="724"/>
      <c r="P127" s="724"/>
      <c r="Q127" s="724"/>
      <c r="R127" s="724"/>
      <c r="S127" s="724"/>
      <c r="T127" s="724"/>
      <c r="U127" s="724"/>
      <c r="V127" s="724"/>
      <c r="W127" s="724"/>
      <c r="X127" s="724"/>
      <c r="Y127" s="724"/>
      <c r="Z127" s="724"/>
      <c r="AA127" s="724"/>
      <c r="AB127" s="724"/>
      <c r="AC127" s="724"/>
      <c r="AD127" s="724"/>
      <c r="AE127" s="724"/>
      <c r="AF127" s="724"/>
      <c r="AG127" s="724"/>
      <c r="AH127" s="724"/>
      <c r="AI127" s="724"/>
      <c r="AJ127" s="725"/>
      <c r="AK127" s="288"/>
    </row>
    <row r="128" spans="10:37" ht="15.95" customHeight="1">
      <c r="J128" s="317"/>
      <c r="K128" s="726"/>
      <c r="L128" s="682"/>
      <c r="M128" s="682"/>
      <c r="N128" s="682"/>
      <c r="O128" s="682"/>
      <c r="P128" s="682"/>
      <c r="Q128" s="682"/>
      <c r="R128" s="682"/>
      <c r="S128" s="682"/>
      <c r="T128" s="682"/>
      <c r="U128" s="682"/>
      <c r="V128" s="682"/>
      <c r="W128" s="682"/>
      <c r="X128" s="682"/>
      <c r="Y128" s="682"/>
      <c r="Z128" s="682"/>
      <c r="AA128" s="682"/>
      <c r="AB128" s="682"/>
      <c r="AC128" s="682"/>
      <c r="AD128" s="682"/>
      <c r="AE128" s="682"/>
      <c r="AF128" s="682"/>
      <c r="AG128" s="682"/>
      <c r="AH128" s="682"/>
      <c r="AI128" s="682"/>
      <c r="AJ128" s="727"/>
      <c r="AK128" s="318"/>
    </row>
    <row r="129" spans="10:37" ht="15.95" customHeight="1">
      <c r="J129" s="317"/>
      <c r="K129" s="728"/>
      <c r="L129" s="729"/>
      <c r="M129" s="729"/>
      <c r="N129" s="729"/>
      <c r="O129" s="729"/>
      <c r="P129" s="729"/>
      <c r="Q129" s="729"/>
      <c r="R129" s="729"/>
      <c r="S129" s="729"/>
      <c r="T129" s="729"/>
      <c r="U129" s="729"/>
      <c r="V129" s="729"/>
      <c r="W129" s="729"/>
      <c r="X129" s="729"/>
      <c r="Y129" s="729"/>
      <c r="Z129" s="729"/>
      <c r="AA129" s="729"/>
      <c r="AB129" s="729"/>
      <c r="AC129" s="729"/>
      <c r="AD129" s="729"/>
      <c r="AE129" s="729"/>
      <c r="AF129" s="729"/>
      <c r="AG129" s="729"/>
      <c r="AH129" s="729"/>
      <c r="AI129" s="729"/>
      <c r="AJ129" s="730"/>
      <c r="AK129" s="318"/>
    </row>
    <row r="130" spans="10:37" ht="15.95" customHeight="1">
      <c r="J130" s="317"/>
      <c r="AK130" s="318"/>
    </row>
    <row r="131" spans="10:37" ht="19.5" customHeight="1" thickBot="1">
      <c r="J131" s="287"/>
      <c r="K131" s="322" t="s">
        <v>1453</v>
      </c>
      <c r="L131" s="292"/>
      <c r="M131" s="292"/>
      <c r="N131" s="292"/>
      <c r="O131" s="292"/>
      <c r="P131" s="292"/>
      <c r="Q131" s="292"/>
      <c r="R131" s="292"/>
      <c r="S131" s="292"/>
      <c r="T131" s="292"/>
      <c r="U131" s="292"/>
      <c r="V131" s="292"/>
      <c r="W131" s="292"/>
      <c r="X131" s="294"/>
      <c r="Y131" s="294"/>
      <c r="Z131" s="294"/>
      <c r="AA131" s="294"/>
      <c r="AB131" s="294"/>
      <c r="AC131" s="294"/>
      <c r="AD131" s="294"/>
      <c r="AE131" s="294"/>
      <c r="AF131" s="294"/>
      <c r="AG131" s="294"/>
      <c r="AH131" s="294"/>
      <c r="AI131" s="294"/>
      <c r="AJ131" s="294"/>
      <c r="AK131" s="318"/>
    </row>
    <row r="132" spans="10:37" ht="15.95" customHeight="1">
      <c r="J132" s="287"/>
      <c r="K132" s="752"/>
      <c r="L132" s="753"/>
      <c r="M132" s="753"/>
      <c r="N132" s="753"/>
      <c r="O132" s="753"/>
      <c r="P132" s="753"/>
      <c r="Q132" s="753"/>
      <c r="R132" s="753"/>
      <c r="S132" s="753"/>
      <c r="T132" s="753"/>
      <c r="U132" s="753"/>
      <c r="V132" s="753"/>
      <c r="W132" s="753"/>
      <c r="X132" s="753"/>
      <c r="Y132" s="753"/>
      <c r="Z132" s="753"/>
      <c r="AA132" s="753"/>
      <c r="AB132" s="753"/>
      <c r="AC132" s="753"/>
      <c r="AD132" s="753"/>
      <c r="AE132" s="753"/>
      <c r="AF132" s="753"/>
      <c r="AG132" s="753"/>
      <c r="AH132" s="753"/>
      <c r="AI132" s="753"/>
      <c r="AJ132" s="754"/>
      <c r="AK132" s="318"/>
    </row>
    <row r="133" spans="10:37" ht="15.95" customHeight="1">
      <c r="J133" s="287"/>
      <c r="K133" s="755"/>
      <c r="L133" s="756"/>
      <c r="M133" s="756"/>
      <c r="N133" s="756"/>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7"/>
      <c r="AK133" s="318"/>
    </row>
    <row r="134" spans="10:37" ht="15.95" customHeight="1">
      <c r="J134" s="287"/>
      <c r="K134" s="755"/>
      <c r="L134" s="756"/>
      <c r="M134" s="756"/>
      <c r="N134" s="756"/>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7"/>
      <c r="AK134" s="318"/>
    </row>
    <row r="135" spans="10:37" ht="15.95" customHeight="1">
      <c r="J135" s="287"/>
      <c r="K135" s="755"/>
      <c r="L135" s="756"/>
      <c r="M135" s="756"/>
      <c r="N135" s="756"/>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7"/>
      <c r="AK135" s="318"/>
    </row>
    <row r="136" spans="10:37" ht="15.95" customHeight="1">
      <c r="J136" s="287"/>
      <c r="K136" s="755"/>
      <c r="L136" s="756"/>
      <c r="M136" s="756"/>
      <c r="N136" s="756"/>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7"/>
      <c r="AK136" s="318"/>
    </row>
    <row r="137" spans="10:37" ht="15.95" customHeight="1">
      <c r="J137" s="287"/>
      <c r="K137" s="758"/>
      <c r="L137" s="759"/>
      <c r="M137" s="759"/>
      <c r="N137" s="759"/>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60"/>
      <c r="AK137" s="318"/>
    </row>
    <row r="138" spans="10:37" ht="15.95" customHeight="1">
      <c r="J138" s="287"/>
      <c r="AK138" s="318"/>
    </row>
    <row r="139" spans="10:37" ht="15.95" customHeight="1">
      <c r="J139" s="287"/>
      <c r="K139" s="745" t="s">
        <v>1265</v>
      </c>
      <c r="L139" s="745"/>
      <c r="M139" s="745"/>
      <c r="N139" s="745"/>
      <c r="O139" s="745"/>
      <c r="P139" s="745"/>
      <c r="Q139" s="745"/>
      <c r="R139" s="745"/>
      <c r="S139" s="745"/>
      <c r="T139" s="745"/>
      <c r="U139" s="745"/>
      <c r="V139" s="745"/>
      <c r="W139" s="745"/>
      <c r="X139" s="745"/>
      <c r="Y139" s="745"/>
      <c r="Z139" s="745"/>
      <c r="AA139" s="745"/>
      <c r="AB139" s="745"/>
      <c r="AC139" s="745"/>
      <c r="AD139" s="745"/>
      <c r="AE139" s="745"/>
      <c r="AF139" s="745"/>
      <c r="AG139" s="745"/>
      <c r="AH139" s="745"/>
      <c r="AI139" s="745"/>
      <c r="AJ139" s="745"/>
      <c r="AK139" s="319"/>
    </row>
    <row r="140" spans="10:37" ht="15.95" customHeight="1">
      <c r="J140" s="287"/>
      <c r="K140" s="745"/>
      <c r="L140" s="745"/>
      <c r="M140" s="745"/>
      <c r="N140" s="745"/>
      <c r="O140" s="745"/>
      <c r="P140" s="745"/>
      <c r="Q140" s="745"/>
      <c r="R140" s="745"/>
      <c r="S140" s="745"/>
      <c r="T140" s="745"/>
      <c r="U140" s="745"/>
      <c r="V140" s="745"/>
      <c r="W140" s="745"/>
      <c r="X140" s="745"/>
      <c r="Y140" s="745"/>
      <c r="Z140" s="745"/>
      <c r="AA140" s="745"/>
      <c r="AB140" s="745"/>
      <c r="AC140" s="745"/>
      <c r="AD140" s="745"/>
      <c r="AE140" s="745"/>
      <c r="AF140" s="745"/>
      <c r="AG140" s="745"/>
      <c r="AH140" s="745"/>
      <c r="AI140" s="745"/>
      <c r="AJ140" s="745"/>
      <c r="AK140" s="319"/>
    </row>
    <row r="141" spans="10:37" ht="15.95" customHeight="1" thickBot="1">
      <c r="J141" s="291"/>
      <c r="K141" s="292"/>
      <c r="L141" s="292"/>
      <c r="M141" s="292"/>
      <c r="N141" s="292"/>
      <c r="O141" s="292"/>
      <c r="P141" s="292"/>
      <c r="Q141" s="292"/>
      <c r="R141" s="292"/>
      <c r="S141" s="292"/>
      <c r="T141" s="292"/>
      <c r="U141" s="292"/>
      <c r="V141" s="292"/>
      <c r="W141" s="292"/>
      <c r="X141" s="292"/>
      <c r="Y141" s="292"/>
      <c r="Z141" s="292"/>
      <c r="AA141" s="292"/>
      <c r="AB141" s="292"/>
      <c r="AC141" s="292"/>
      <c r="AD141" s="292"/>
      <c r="AE141" s="292"/>
      <c r="AF141" s="292"/>
      <c r="AG141" s="292"/>
      <c r="AH141" s="292"/>
      <c r="AI141" s="292"/>
      <c r="AJ141" s="292"/>
      <c r="AK141" s="293"/>
    </row>
    <row r="142" spans="10:37" ht="15.95" customHeight="1"/>
    <row r="143" spans="10:37" ht="15.95" hidden="1" customHeight="1"/>
    <row r="144" spans="10:37"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customHeight="1">
      <c r="A196" s="228"/>
      <c r="B196" s="229" t="str">
        <f>FOOT1</f>
        <v>Evergy Business Energy Savings Program</v>
      </c>
      <c r="C196" s="229"/>
      <c r="D196" s="229"/>
      <c r="E196" s="229"/>
      <c r="F196" s="229"/>
      <c r="G196" s="229"/>
      <c r="H196" s="229"/>
      <c r="I196" s="229"/>
      <c r="J196" s="229"/>
      <c r="K196" s="229"/>
      <c r="L196" s="229"/>
      <c r="M196" s="615" t="str">
        <f>FOOTDISCLAIM_N</f>
        <v/>
      </c>
      <c r="N196" s="615"/>
      <c r="O196" s="615"/>
      <c r="P196" s="615"/>
      <c r="Q196" s="615"/>
      <c r="R196" s="615"/>
      <c r="S196" s="615"/>
      <c r="T196" s="615"/>
      <c r="U196" s="615"/>
      <c r="V196" s="615"/>
      <c r="W196" s="615"/>
      <c r="X196" s="615"/>
      <c r="Y196" s="615"/>
      <c r="Z196" s="615"/>
      <c r="AA196" s="615"/>
      <c r="AB196" s="615"/>
      <c r="AC196" s="615"/>
      <c r="AD196" s="615"/>
      <c r="AE196" s="615"/>
      <c r="AF196" s="615"/>
      <c r="AG196" s="615"/>
      <c r="AH196" s="229"/>
      <c r="AI196" s="229"/>
      <c r="AJ196" s="229"/>
      <c r="AK196" s="229"/>
      <c r="AL196" s="229"/>
      <c r="AM196" s="229"/>
      <c r="AN196" s="229"/>
      <c r="AO196" s="229"/>
      <c r="AP196" s="229"/>
      <c r="AQ196" s="229"/>
      <c r="AR196" s="246" t="str">
        <f>FOOT4</f>
        <v/>
      </c>
      <c r="AS196" s="228"/>
      <c r="AT196" s="228"/>
      <c r="AU196" s="228"/>
      <c r="AV196" s="228"/>
      <c r="AW196" s="228"/>
    </row>
    <row r="197" spans="1:49" ht="15.95" customHeight="1">
      <c r="A197" s="228"/>
      <c r="B197" s="229" t="str">
        <f>FOOT2</f>
        <v>(844)687-0229</v>
      </c>
      <c r="C197" s="229"/>
      <c r="D197" s="229"/>
      <c r="E197" s="229"/>
      <c r="F197" s="229"/>
      <c r="G197" s="229"/>
      <c r="H197" s="229"/>
      <c r="I197" s="229"/>
      <c r="J197" s="229"/>
      <c r="K197" s="229"/>
      <c r="L197" s="229"/>
      <c r="M197" s="615"/>
      <c r="N197" s="615"/>
      <c r="O197" s="615"/>
      <c r="P197" s="615"/>
      <c r="Q197" s="615"/>
      <c r="R197" s="615"/>
      <c r="S197" s="615"/>
      <c r="T197" s="615"/>
      <c r="U197" s="615"/>
      <c r="V197" s="615"/>
      <c r="W197" s="615"/>
      <c r="X197" s="615"/>
      <c r="Y197" s="615"/>
      <c r="Z197" s="615"/>
      <c r="AA197" s="615"/>
      <c r="AB197" s="615"/>
      <c r="AC197" s="615"/>
      <c r="AD197" s="615"/>
      <c r="AE197" s="615"/>
      <c r="AF197" s="615"/>
      <c r="AG197" s="615"/>
      <c r="AH197" s="229"/>
      <c r="AI197" s="229"/>
      <c r="AJ197" s="229"/>
      <c r="AK197" s="229"/>
      <c r="AL197" s="229"/>
      <c r="AM197" s="229"/>
      <c r="AN197" s="229"/>
      <c r="AO197" s="229"/>
      <c r="AP197" s="229"/>
      <c r="AQ197" s="229"/>
      <c r="AR197" s="247" t="str">
        <f>FOOT5</f>
        <v/>
      </c>
      <c r="AS197" s="228"/>
      <c r="AT197" s="228"/>
      <c r="AU197" s="228"/>
      <c r="AV197" s="228"/>
      <c r="AW197" s="228"/>
    </row>
    <row r="198" spans="1:49" ht="15.95" customHeight="1">
      <c r="A198" s="228"/>
      <c r="B198" s="229" t="str">
        <f>FOOT3</f>
        <v>businessrebates@evergy.com</v>
      </c>
      <c r="C198" s="229"/>
      <c r="D198" s="229"/>
      <c r="E198" s="229"/>
      <c r="F198" s="229"/>
      <c r="G198" s="229"/>
      <c r="H198" s="229"/>
      <c r="I198" s="229"/>
      <c r="J198" s="229"/>
      <c r="K198" s="229"/>
      <c r="L198" s="229"/>
      <c r="M198" s="231"/>
      <c r="N198" s="229"/>
      <c r="O198" s="229"/>
      <c r="P198" s="231"/>
      <c r="Q198" s="231"/>
      <c r="R198" s="231"/>
      <c r="S198" s="231"/>
      <c r="T198" s="231"/>
      <c r="U198" s="231"/>
      <c r="V198" s="231"/>
      <c r="W198" s="232" t="str">
        <f>CONCATENATE("New Construction ",VERSION)</f>
        <v>New Construction v3.0.0</v>
      </c>
      <c r="X198" s="231"/>
      <c r="Y198" s="231"/>
      <c r="Z198" s="231"/>
      <c r="AA198" s="231"/>
      <c r="AB198" s="231"/>
      <c r="AC198" s="231"/>
      <c r="AD198" s="231"/>
      <c r="AE198" s="229"/>
      <c r="AF198" s="229"/>
      <c r="AG198" s="229"/>
      <c r="AH198" s="229"/>
      <c r="AI198" s="229"/>
      <c r="AJ198" s="229"/>
      <c r="AK198" s="229"/>
      <c r="AL198" s="229"/>
      <c r="AM198" s="229"/>
      <c r="AN198" s="229"/>
      <c r="AO198" s="229"/>
      <c r="AP198" s="229"/>
      <c r="AQ198" s="229"/>
      <c r="AR198" s="248" t="str">
        <f>FOOT6</f>
        <v>This is a TRC tool</v>
      </c>
      <c r="AS198" s="228"/>
      <c r="AT198" s="228"/>
      <c r="AU198" s="228"/>
      <c r="AV198" s="228"/>
      <c r="AW198" s="228"/>
    </row>
    <row r="199" spans="1:49" ht="15.95" hidden="1" customHeight="1"/>
    <row r="200" spans="1:49" ht="15.95" hidden="1" customHeight="1"/>
    <row r="201" spans="1:49" ht="15.95" hidden="1" customHeight="1"/>
    <row r="202" spans="1:49" ht="15.95" hidden="1" customHeight="1"/>
    <row r="203" spans="1:49" ht="15.95" hidden="1" customHeight="1"/>
    <row r="204" spans="1:49" ht="15.95" hidden="1" customHeight="1"/>
    <row r="205" spans="1:49" ht="15.95" hidden="1" customHeight="1"/>
    <row r="206" spans="1:49" ht="15.95" hidden="1" customHeight="1"/>
    <row r="207" spans="1:49" ht="15.95" hidden="1" customHeight="1"/>
    <row r="208" spans="1:49"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sheetData>
  <sheetProtection algorithmName="SHA-512" hashValue="H/9sBAqtUOMAe4o+1sy+K+qK20sxxSzOMhN/XfHo2x5IPdiCcZL3YCVQm2msf/DwwIdYwrZ34zVuNSxKihlxVg==" saltValue="vONGrZsdwYhCyKvKbhPGKQ==" spinCount="100000" sheet="1" objects="1" scenarios="1" selectLockedCells="1"/>
  <mergeCells count="89">
    <mergeCell ref="A8:E8"/>
    <mergeCell ref="AQ8:AU8"/>
    <mergeCell ref="AD34:AI34"/>
    <mergeCell ref="AA34:AC34"/>
    <mergeCell ref="X34:Z34"/>
    <mergeCell ref="U34:W34"/>
    <mergeCell ref="R34:T34"/>
    <mergeCell ref="O34:Q34"/>
    <mergeCell ref="L34:N34"/>
    <mergeCell ref="N28:V28"/>
    <mergeCell ref="N29:V29"/>
    <mergeCell ref="N30:V30"/>
    <mergeCell ref="K25:M25"/>
    <mergeCell ref="AC17:AJ18"/>
    <mergeCell ref="K19:M19"/>
    <mergeCell ref="N19:V19"/>
    <mergeCell ref="AP1:AS3"/>
    <mergeCell ref="A5:E6"/>
    <mergeCell ref="AQ5:AU6"/>
    <mergeCell ref="A7:E7"/>
    <mergeCell ref="AQ7:AU7"/>
    <mergeCell ref="F1:I3"/>
    <mergeCell ref="J1:M3"/>
    <mergeCell ref="O1:AE3"/>
    <mergeCell ref="AL1:AO3"/>
    <mergeCell ref="BL12:BN12"/>
    <mergeCell ref="AZ13:BE13"/>
    <mergeCell ref="K15:AF16"/>
    <mergeCell ref="K51:V51"/>
    <mergeCell ref="Y49:AJ49"/>
    <mergeCell ref="Y51:AJ51"/>
    <mergeCell ref="K17:AB18"/>
    <mergeCell ref="N20:V20"/>
    <mergeCell ref="N26:V26"/>
    <mergeCell ref="X35:Z35"/>
    <mergeCell ref="X20:AJ27"/>
    <mergeCell ref="AA35:AC35"/>
    <mergeCell ref="U35:W35"/>
    <mergeCell ref="R35:T35"/>
    <mergeCell ref="O35:Q35"/>
    <mergeCell ref="N25:V25"/>
    <mergeCell ref="K118:AJ120"/>
    <mergeCell ref="K127:AJ129"/>
    <mergeCell ref="M196:AG197"/>
    <mergeCell ref="AZ14:BE14"/>
    <mergeCell ref="AZ12:BK12"/>
    <mergeCell ref="K53:V53"/>
    <mergeCell ref="K55:V55"/>
    <mergeCell ref="Y53:AJ53"/>
    <mergeCell ref="K75:AJ76"/>
    <mergeCell ref="L35:N35"/>
    <mergeCell ref="K20:M20"/>
    <mergeCell ref="K26:M26"/>
    <mergeCell ref="K28:M28"/>
    <mergeCell ref="K29:M29"/>
    <mergeCell ref="K21:M21"/>
    <mergeCell ref="N21:V21"/>
    <mergeCell ref="N23:V23"/>
    <mergeCell ref="K45:V45"/>
    <mergeCell ref="K139:AJ140"/>
    <mergeCell ref="K47:V47"/>
    <mergeCell ref="O90:R90"/>
    <mergeCell ref="Q91:T91"/>
    <mergeCell ref="K87:N87"/>
    <mergeCell ref="K88:N88"/>
    <mergeCell ref="O87:T87"/>
    <mergeCell ref="O88:T88"/>
    <mergeCell ref="K89:N89"/>
    <mergeCell ref="K90:N90"/>
    <mergeCell ref="W123:AA123"/>
    <mergeCell ref="W124:AA124"/>
    <mergeCell ref="AB123:AC123"/>
    <mergeCell ref="K132:AJ137"/>
    <mergeCell ref="A9:AW10"/>
    <mergeCell ref="A11:AW12"/>
    <mergeCell ref="AT1:AW3"/>
    <mergeCell ref="AB124:AC124"/>
    <mergeCell ref="K57:V57"/>
    <mergeCell ref="Y55:AJ55"/>
    <mergeCell ref="K95:AJ97"/>
    <mergeCell ref="K108:AJ111"/>
    <mergeCell ref="Y45:AJ45"/>
    <mergeCell ref="K49:V49"/>
    <mergeCell ref="Y47:AJ47"/>
    <mergeCell ref="K30:M30"/>
    <mergeCell ref="N39:T39"/>
    <mergeCell ref="K22:M22"/>
    <mergeCell ref="K23:M23"/>
    <mergeCell ref="N22:V22"/>
  </mergeCells>
  <conditionalFormatting sqref="L34:AI34">
    <cfRule type="containsBlanks" dxfId="142" priority="4">
      <formula>LEN(TRIM(L34))=0</formula>
    </cfRule>
  </conditionalFormatting>
  <conditionalFormatting sqref="AQ8:AW8">
    <cfRule type="expression" dxfId="141" priority="1528">
      <formula>IF($AQ$8=PROJSTATMEASURE,FALSE,TRUE)</formula>
    </cfRule>
  </conditionalFormatting>
  <dataValidations count="3">
    <dataValidation type="list" allowBlank="1" showInputMessage="1" showErrorMessage="1" sqref="BL12:BN12" xr:uid="{6EEA1367-CAA2-4D91-ABA8-EAD09E865760}">
      <formula1>YESNOLIST</formula1>
    </dataValidation>
    <dataValidation type="date" operator="greaterThanOrEqual" allowBlank="1" showInputMessage="1" showErrorMessage="1" error="Please enter date. Format: mm/dd/yyyy" sqref="L34:AI34" xr:uid="{7727ED8B-286B-4D27-83C2-AE1B22D432B0}">
      <formula1>32874</formula1>
    </dataValidation>
    <dataValidation type="date" operator="greaterThan" allowBlank="1" showInputMessage="1" showErrorMessage="1" error="Please enter date. Format: mm/dd/yyyy" sqref="N39:T39" xr:uid="{AB060F48-D950-4AEB-8EF7-BD4942A7BFE2}">
      <formula1>32874</formula1>
    </dataValidation>
  </dataValidations>
  <hyperlinks>
    <hyperlink ref="B198" r:id="rId1" display="businessrebates@evergy.com" xr:uid="{36204409-ACF7-466F-80C5-5F55876C9E95}"/>
  </hyperlinks>
  <printOptions horizontalCentered="1"/>
  <pageMargins left="0" right="0" top="0" bottom="0" header="0" footer="0"/>
  <pageSetup scale="7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21898" r:id="rId5" name="HVAC">
              <controlPr defaultSize="0" autoFill="0" autoLine="0" autoPict="0">
                <anchor moveWithCells="1">
                  <from>
                    <xdr:col>10</xdr:col>
                    <xdr:colOff>85725</xdr:colOff>
                    <xdr:row>103</xdr:row>
                    <xdr:rowOff>0</xdr:rowOff>
                  </from>
                  <to>
                    <xdr:col>11</xdr:col>
                    <xdr:colOff>0</xdr:colOff>
                    <xdr:row>104</xdr:row>
                    <xdr:rowOff>19050</xdr:rowOff>
                  </to>
                </anchor>
              </controlPr>
            </control>
          </mc:Choice>
        </mc:AlternateContent>
        <mc:AlternateContent xmlns:mc="http://schemas.openxmlformats.org/markup-compatibility/2006">
          <mc:Choice Requires="x14">
            <control shapeId="121900" r:id="rId6" name="Food Services">
              <controlPr defaultSize="0" autoFill="0" autoLine="0" autoPict="0">
                <anchor moveWithCells="1">
                  <from>
                    <xdr:col>10</xdr:col>
                    <xdr:colOff>85725</xdr:colOff>
                    <xdr:row>103</xdr:row>
                    <xdr:rowOff>200025</xdr:rowOff>
                  </from>
                  <to>
                    <xdr:col>11</xdr:col>
                    <xdr:colOff>0</xdr:colOff>
                    <xdr:row>105</xdr:row>
                    <xdr:rowOff>19050</xdr:rowOff>
                  </to>
                </anchor>
              </controlPr>
            </control>
          </mc:Choice>
        </mc:AlternateContent>
        <mc:AlternateContent xmlns:mc="http://schemas.openxmlformats.org/markup-compatibility/2006">
          <mc:Choice Requires="x14">
            <control shapeId="121905" r:id="rId7" name="Att. - TA/GC">
              <controlPr defaultSize="0" autoFill="0" autoLine="0" autoPict="0">
                <anchor moveWithCells="1">
                  <from>
                    <xdr:col>9</xdr:col>
                    <xdr:colOff>66675</xdr:colOff>
                    <xdr:row>45</xdr:row>
                    <xdr:rowOff>190500</xdr:rowOff>
                  </from>
                  <to>
                    <xdr:col>9</xdr:col>
                    <xdr:colOff>295275</xdr:colOff>
                    <xdr:row>47</xdr:row>
                    <xdr:rowOff>0</xdr:rowOff>
                  </to>
                </anchor>
              </controlPr>
            </control>
          </mc:Choice>
        </mc:AlternateContent>
        <mc:AlternateContent xmlns:mc="http://schemas.openxmlformats.org/markup-compatibility/2006">
          <mc:Choice Requires="x14">
            <control shapeId="121907" r:id="rId8" name="Att. - Arch">
              <controlPr defaultSize="0" autoFill="0" autoLine="0" autoPict="0">
                <anchor moveWithCells="1">
                  <from>
                    <xdr:col>9</xdr:col>
                    <xdr:colOff>66675</xdr:colOff>
                    <xdr:row>47</xdr:row>
                    <xdr:rowOff>190500</xdr:rowOff>
                  </from>
                  <to>
                    <xdr:col>9</xdr:col>
                    <xdr:colOff>295275</xdr:colOff>
                    <xdr:row>48</xdr:row>
                    <xdr:rowOff>200025</xdr:rowOff>
                  </to>
                </anchor>
              </controlPr>
            </control>
          </mc:Choice>
        </mc:AlternateContent>
        <mc:AlternateContent xmlns:mc="http://schemas.openxmlformats.org/markup-compatibility/2006">
          <mc:Choice Requires="x14">
            <control shapeId="121908" r:id="rId9" name="Att. - ME">
              <controlPr defaultSize="0" autoFill="0" autoLine="0" autoPict="0">
                <anchor moveWithCells="1">
                  <from>
                    <xdr:col>9</xdr:col>
                    <xdr:colOff>66675</xdr:colOff>
                    <xdr:row>49</xdr:row>
                    <xdr:rowOff>180975</xdr:rowOff>
                  </from>
                  <to>
                    <xdr:col>9</xdr:col>
                    <xdr:colOff>295275</xdr:colOff>
                    <xdr:row>50</xdr:row>
                    <xdr:rowOff>200025</xdr:rowOff>
                  </to>
                </anchor>
              </controlPr>
            </control>
          </mc:Choice>
        </mc:AlternateContent>
        <mc:AlternateContent xmlns:mc="http://schemas.openxmlformats.org/markup-compatibility/2006">
          <mc:Choice Requires="x14">
            <control shapeId="121909" r:id="rId10" name="Att. - EE">
              <controlPr defaultSize="0" autoFill="0" autoLine="0" autoPict="0">
                <anchor moveWithCells="1">
                  <from>
                    <xdr:col>9</xdr:col>
                    <xdr:colOff>66675</xdr:colOff>
                    <xdr:row>51</xdr:row>
                    <xdr:rowOff>180975</xdr:rowOff>
                  </from>
                  <to>
                    <xdr:col>9</xdr:col>
                    <xdr:colOff>295275</xdr:colOff>
                    <xdr:row>52</xdr:row>
                    <xdr:rowOff>200025</xdr:rowOff>
                  </to>
                </anchor>
              </controlPr>
            </control>
          </mc:Choice>
        </mc:AlternateContent>
        <mc:AlternateContent xmlns:mc="http://schemas.openxmlformats.org/markup-compatibility/2006">
          <mc:Choice Requires="x14">
            <control shapeId="121910" r:id="rId11" name="Att. - Other">
              <controlPr defaultSize="0" autoFill="0" autoLine="0" autoPict="0">
                <anchor moveWithCells="1">
                  <from>
                    <xdr:col>9</xdr:col>
                    <xdr:colOff>66675</xdr:colOff>
                    <xdr:row>53</xdr:row>
                    <xdr:rowOff>180975</xdr:rowOff>
                  </from>
                  <to>
                    <xdr:col>9</xdr:col>
                    <xdr:colOff>295275</xdr:colOff>
                    <xdr:row>54</xdr:row>
                    <xdr:rowOff>190500</xdr:rowOff>
                  </to>
                </anchor>
              </controlPr>
            </control>
          </mc:Choice>
        </mc:AlternateContent>
        <mc:AlternateContent xmlns:mc="http://schemas.openxmlformats.org/markup-compatibility/2006">
          <mc:Choice Requires="x14">
            <control shapeId="121913" r:id="rId12" name="Att. - Other 2">
              <controlPr defaultSize="0" autoFill="0" autoLine="0" autoPict="0">
                <anchor moveWithCells="1">
                  <from>
                    <xdr:col>9</xdr:col>
                    <xdr:colOff>66675</xdr:colOff>
                    <xdr:row>55</xdr:row>
                    <xdr:rowOff>180975</xdr:rowOff>
                  </from>
                  <to>
                    <xdr:col>9</xdr:col>
                    <xdr:colOff>295275</xdr:colOff>
                    <xdr:row>56</xdr:row>
                    <xdr:rowOff>190500</xdr:rowOff>
                  </to>
                </anchor>
              </controlPr>
            </control>
          </mc:Choice>
        </mc:AlternateContent>
        <mc:AlternateContent xmlns:mc="http://schemas.openxmlformats.org/markup-compatibility/2006">
          <mc:Choice Requires="x14">
            <control shapeId="121914" r:id="rId13" name="Int. Ltg. Box">
              <controlPr defaultSize="0" autoFill="0" autoPict="0">
                <anchor moveWithCells="1">
                  <from>
                    <xdr:col>31</xdr:col>
                    <xdr:colOff>295275</xdr:colOff>
                    <xdr:row>79</xdr:row>
                    <xdr:rowOff>0</xdr:rowOff>
                  </from>
                  <to>
                    <xdr:col>36</xdr:col>
                    <xdr:colOff>9525</xdr:colOff>
                    <xdr:row>98</xdr:row>
                    <xdr:rowOff>57150</xdr:rowOff>
                  </to>
                </anchor>
              </controlPr>
            </control>
          </mc:Choice>
        </mc:AlternateContent>
        <mc:AlternateContent xmlns:mc="http://schemas.openxmlformats.org/markup-compatibility/2006">
          <mc:Choice Requires="x14">
            <control shapeId="121915" r:id="rId14" name="Int. Ltg. - Yes">
              <controlPr defaultSize="0" autoFill="0" autoLine="0" autoPict="0">
                <anchor moveWithCells="1">
                  <from>
                    <xdr:col>32</xdr:col>
                    <xdr:colOff>85725</xdr:colOff>
                    <xdr:row>97</xdr:row>
                    <xdr:rowOff>38100</xdr:rowOff>
                  </from>
                  <to>
                    <xdr:col>33</xdr:col>
                    <xdr:colOff>142875</xdr:colOff>
                    <xdr:row>98</xdr:row>
                    <xdr:rowOff>57150</xdr:rowOff>
                  </to>
                </anchor>
              </controlPr>
            </control>
          </mc:Choice>
        </mc:AlternateContent>
        <mc:AlternateContent xmlns:mc="http://schemas.openxmlformats.org/markup-compatibility/2006">
          <mc:Choice Requires="x14">
            <control shapeId="121916" r:id="rId15" name="Int. Ltg. - No">
              <controlPr defaultSize="0" autoFill="0" autoLine="0" autoPict="0">
                <anchor moveWithCells="1">
                  <from>
                    <xdr:col>34</xdr:col>
                    <xdr:colOff>28575</xdr:colOff>
                    <xdr:row>97</xdr:row>
                    <xdr:rowOff>38100</xdr:rowOff>
                  </from>
                  <to>
                    <xdr:col>35</xdr:col>
                    <xdr:colOff>66675</xdr:colOff>
                    <xdr:row>98</xdr:row>
                    <xdr:rowOff>57150</xdr:rowOff>
                  </to>
                </anchor>
              </controlPr>
            </control>
          </mc:Choice>
        </mc:AlternateContent>
        <mc:AlternateContent xmlns:mc="http://schemas.openxmlformats.org/markup-compatibility/2006">
          <mc:Choice Requires="x14">
            <control shapeId="121917" r:id="rId16" name="Mult. Space Box">
              <controlPr defaultSize="0" autoFill="0" autoPict="0">
                <anchor moveWithCells="1">
                  <from>
                    <xdr:col>31</xdr:col>
                    <xdr:colOff>295275</xdr:colOff>
                    <xdr:row>79</xdr:row>
                    <xdr:rowOff>0</xdr:rowOff>
                  </from>
                  <to>
                    <xdr:col>36</xdr:col>
                    <xdr:colOff>9525</xdr:colOff>
                    <xdr:row>98</xdr:row>
                    <xdr:rowOff>57150</xdr:rowOff>
                  </to>
                </anchor>
              </controlPr>
            </control>
          </mc:Choice>
        </mc:AlternateContent>
        <mc:AlternateContent xmlns:mc="http://schemas.openxmlformats.org/markup-compatibility/2006">
          <mc:Choice Requires="x14">
            <control shapeId="121918" r:id="rId17" name="Mult. Space- Yes">
              <controlPr defaultSize="0" autoFill="0" autoLine="0" autoPict="0">
                <anchor moveWithCells="1">
                  <from>
                    <xdr:col>32</xdr:col>
                    <xdr:colOff>85725</xdr:colOff>
                    <xdr:row>97</xdr:row>
                    <xdr:rowOff>19050</xdr:rowOff>
                  </from>
                  <to>
                    <xdr:col>33</xdr:col>
                    <xdr:colOff>142875</xdr:colOff>
                    <xdr:row>98</xdr:row>
                    <xdr:rowOff>38100</xdr:rowOff>
                  </to>
                </anchor>
              </controlPr>
            </control>
          </mc:Choice>
        </mc:AlternateContent>
        <mc:AlternateContent xmlns:mc="http://schemas.openxmlformats.org/markup-compatibility/2006">
          <mc:Choice Requires="x14">
            <control shapeId="121919" r:id="rId18" name="Mult. Space - No">
              <controlPr defaultSize="0" autoFill="0" autoLine="0" autoPict="0">
                <anchor moveWithCells="1">
                  <from>
                    <xdr:col>34</xdr:col>
                    <xdr:colOff>28575</xdr:colOff>
                    <xdr:row>97</xdr:row>
                    <xdr:rowOff>19050</xdr:rowOff>
                  </from>
                  <to>
                    <xdr:col>35</xdr:col>
                    <xdr:colOff>66675</xdr:colOff>
                    <xdr:row>98</xdr:row>
                    <xdr:rowOff>38100</xdr:rowOff>
                  </to>
                </anchor>
              </controlPr>
            </control>
          </mc:Choice>
        </mc:AlternateContent>
        <mc:AlternateContent xmlns:mc="http://schemas.openxmlformats.org/markup-compatibility/2006">
          <mc:Choice Requires="x14">
            <control shapeId="121920" r:id="rId19" name="Std Box">
              <controlPr defaultSize="0" autoFill="0" autoPict="0">
                <anchor moveWithCells="1">
                  <from>
                    <xdr:col>31</xdr:col>
                    <xdr:colOff>295275</xdr:colOff>
                    <xdr:row>100</xdr:row>
                    <xdr:rowOff>0</xdr:rowOff>
                  </from>
                  <to>
                    <xdr:col>36</xdr:col>
                    <xdr:colOff>9525</xdr:colOff>
                    <xdr:row>101</xdr:row>
                    <xdr:rowOff>28575</xdr:rowOff>
                  </to>
                </anchor>
              </controlPr>
            </control>
          </mc:Choice>
        </mc:AlternateContent>
        <mc:AlternateContent xmlns:mc="http://schemas.openxmlformats.org/markup-compatibility/2006">
          <mc:Choice Requires="x14">
            <control shapeId="121921" r:id="rId20" name="Std - Yes">
              <controlPr defaultSize="0" autoFill="0" autoLine="0" autoPict="0">
                <anchor moveWithCells="1">
                  <from>
                    <xdr:col>32</xdr:col>
                    <xdr:colOff>85725</xdr:colOff>
                    <xdr:row>100</xdr:row>
                    <xdr:rowOff>19050</xdr:rowOff>
                  </from>
                  <to>
                    <xdr:col>33</xdr:col>
                    <xdr:colOff>142875</xdr:colOff>
                    <xdr:row>101</xdr:row>
                    <xdr:rowOff>19050</xdr:rowOff>
                  </to>
                </anchor>
              </controlPr>
            </control>
          </mc:Choice>
        </mc:AlternateContent>
        <mc:AlternateContent xmlns:mc="http://schemas.openxmlformats.org/markup-compatibility/2006">
          <mc:Choice Requires="x14">
            <control shapeId="121922" r:id="rId21" name="Std - No">
              <controlPr defaultSize="0" autoFill="0" autoLine="0" autoPict="0">
                <anchor moveWithCells="1">
                  <from>
                    <xdr:col>34</xdr:col>
                    <xdr:colOff>28575</xdr:colOff>
                    <xdr:row>100</xdr:row>
                    <xdr:rowOff>19050</xdr:rowOff>
                  </from>
                  <to>
                    <xdr:col>35</xdr:col>
                    <xdr:colOff>66675</xdr:colOff>
                    <xdr:row>101</xdr:row>
                    <xdr:rowOff>19050</xdr:rowOff>
                  </to>
                </anchor>
              </controlPr>
            </control>
          </mc:Choice>
        </mc:AlternateContent>
        <mc:AlternateContent xmlns:mc="http://schemas.openxmlformats.org/markup-compatibility/2006">
          <mc:Choice Requires="x14">
            <control shapeId="121923" r:id="rId22" name="Custom Box">
              <controlPr defaultSize="0" autoFill="0" autoPict="0">
                <anchor moveWithCells="1">
                  <from>
                    <xdr:col>31</xdr:col>
                    <xdr:colOff>295275</xdr:colOff>
                    <xdr:row>114</xdr:row>
                    <xdr:rowOff>0</xdr:rowOff>
                  </from>
                  <to>
                    <xdr:col>36</xdr:col>
                    <xdr:colOff>9525</xdr:colOff>
                    <xdr:row>115</xdr:row>
                    <xdr:rowOff>28575</xdr:rowOff>
                  </to>
                </anchor>
              </controlPr>
            </control>
          </mc:Choice>
        </mc:AlternateContent>
        <mc:AlternateContent xmlns:mc="http://schemas.openxmlformats.org/markup-compatibility/2006">
          <mc:Choice Requires="x14">
            <control shapeId="121926" r:id="rId23" name="Custom - Yes">
              <controlPr defaultSize="0" autoFill="0" autoLine="0" autoPict="0">
                <anchor moveWithCells="1">
                  <from>
                    <xdr:col>32</xdr:col>
                    <xdr:colOff>85725</xdr:colOff>
                    <xdr:row>114</xdr:row>
                    <xdr:rowOff>28575</xdr:rowOff>
                  </from>
                  <to>
                    <xdr:col>33</xdr:col>
                    <xdr:colOff>142875</xdr:colOff>
                    <xdr:row>115</xdr:row>
                    <xdr:rowOff>9525</xdr:rowOff>
                  </to>
                </anchor>
              </controlPr>
            </control>
          </mc:Choice>
        </mc:AlternateContent>
        <mc:AlternateContent xmlns:mc="http://schemas.openxmlformats.org/markup-compatibility/2006">
          <mc:Choice Requires="x14">
            <control shapeId="121927" r:id="rId24" name="Custom - No">
              <controlPr defaultSize="0" autoFill="0" autoLine="0" autoPict="0">
                <anchor moveWithCells="1">
                  <from>
                    <xdr:col>34</xdr:col>
                    <xdr:colOff>28575</xdr:colOff>
                    <xdr:row>114</xdr:row>
                    <xdr:rowOff>28575</xdr:rowOff>
                  </from>
                  <to>
                    <xdr:col>35</xdr:col>
                    <xdr:colOff>66675</xdr:colOff>
                    <xdr:row>115</xdr:row>
                    <xdr:rowOff>9525</xdr:rowOff>
                  </to>
                </anchor>
              </controlPr>
            </control>
          </mc:Choice>
        </mc:AlternateContent>
        <mc:AlternateContent xmlns:mc="http://schemas.openxmlformats.org/markup-compatibility/2006">
          <mc:Choice Requires="x14">
            <control shapeId="121928" r:id="rId25" name="WBP Box">
              <controlPr defaultSize="0" autoFill="0" autoPict="0">
                <anchor moveWithCells="1">
                  <from>
                    <xdr:col>31</xdr:col>
                    <xdr:colOff>295275</xdr:colOff>
                    <xdr:row>122</xdr:row>
                    <xdr:rowOff>200025</xdr:rowOff>
                  </from>
                  <to>
                    <xdr:col>36</xdr:col>
                    <xdr:colOff>9525</xdr:colOff>
                    <xdr:row>124</xdr:row>
                    <xdr:rowOff>0</xdr:rowOff>
                  </to>
                </anchor>
              </controlPr>
            </control>
          </mc:Choice>
        </mc:AlternateContent>
        <mc:AlternateContent xmlns:mc="http://schemas.openxmlformats.org/markup-compatibility/2006">
          <mc:Choice Requires="x14">
            <control shapeId="121929" r:id="rId26" name="WBP - Yes">
              <controlPr defaultSize="0" autoFill="0" autoLine="0" autoPict="0">
                <anchor moveWithCells="1">
                  <from>
                    <xdr:col>32</xdr:col>
                    <xdr:colOff>85725</xdr:colOff>
                    <xdr:row>123</xdr:row>
                    <xdr:rowOff>28575</xdr:rowOff>
                  </from>
                  <to>
                    <xdr:col>33</xdr:col>
                    <xdr:colOff>142875</xdr:colOff>
                    <xdr:row>124</xdr:row>
                    <xdr:rowOff>9525</xdr:rowOff>
                  </to>
                </anchor>
              </controlPr>
            </control>
          </mc:Choice>
        </mc:AlternateContent>
        <mc:AlternateContent xmlns:mc="http://schemas.openxmlformats.org/markup-compatibility/2006">
          <mc:Choice Requires="x14">
            <control shapeId="121930" r:id="rId27" name="WBP - No">
              <controlPr defaultSize="0" autoFill="0" autoLine="0" autoPict="0">
                <anchor moveWithCells="1">
                  <from>
                    <xdr:col>34</xdr:col>
                    <xdr:colOff>28575</xdr:colOff>
                    <xdr:row>123</xdr:row>
                    <xdr:rowOff>28575</xdr:rowOff>
                  </from>
                  <to>
                    <xdr:col>35</xdr:col>
                    <xdr:colOff>66675</xdr:colOff>
                    <xdr:row>124</xdr:row>
                    <xdr:rowOff>9525</xdr:rowOff>
                  </to>
                </anchor>
              </controlPr>
            </control>
          </mc:Choice>
        </mc:AlternateContent>
        <mc:AlternateContent xmlns:mc="http://schemas.openxmlformats.org/markup-compatibility/2006">
          <mc:Choice Requires="x14">
            <control shapeId="121931" r:id="rId28" name="Att - SC">
              <controlPr defaultSize="0" autoFill="0" autoLine="0" autoPict="0">
                <anchor moveWithCells="1">
                  <from>
                    <xdr:col>9</xdr:col>
                    <xdr:colOff>66675</xdr:colOff>
                    <xdr:row>43</xdr:row>
                    <xdr:rowOff>190500</xdr:rowOff>
                  </from>
                  <to>
                    <xdr:col>9</xdr:col>
                    <xdr:colOff>295275</xdr:colOff>
                    <xdr:row>45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13F9-F12A-4AB6-AC46-AF237713208C}">
  <sheetPr codeName="Sheet72">
    <tabColor theme="9" tint="0.59999389629810485"/>
    <pageSetUpPr fitToPage="1"/>
  </sheetPr>
  <dimension ref="A1:AX202"/>
  <sheetViews>
    <sheetView showGridLines="0" showRowColHeaders="0" zoomScale="85" zoomScaleNormal="85" workbookViewId="0">
      <selection activeCell="H6" sqref="H6"/>
    </sheetView>
  </sheetViews>
  <sheetFormatPr defaultColWidth="0" defaultRowHeight="15.95" customHeight="1" zeroHeight="1"/>
  <cols>
    <col min="1" max="49" width="4.7109375" customWidth="1"/>
    <col min="50" max="16384" width="4.7109375" hidden="1"/>
  </cols>
  <sheetData>
    <row r="1" spans="1:50"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50"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50"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50" ht="15.95" customHeight="1">
      <c r="B4" s="199"/>
      <c r="C4" s="199"/>
      <c r="D4" s="199"/>
      <c r="E4" s="199"/>
    </row>
    <row r="5" spans="1:50" ht="15.95" customHeight="1">
      <c r="A5" s="667">
        <f>INCENTOTAL_N</f>
        <v>0</v>
      </c>
      <c r="B5" s="667"/>
      <c r="C5" s="667"/>
      <c r="D5" s="667"/>
      <c r="E5" s="667"/>
      <c r="AQ5" s="668">
        <f ca="1">PROGRESSSTATUS_N</f>
        <v>0</v>
      </c>
      <c r="AR5" s="668"/>
      <c r="AS5" s="668"/>
      <c r="AT5" s="668"/>
      <c r="AU5" s="668"/>
      <c r="AV5" s="557"/>
    </row>
    <row r="6" spans="1:50" ht="15.95" customHeight="1">
      <c r="A6" s="667"/>
      <c r="B6" s="667"/>
      <c r="C6" s="667"/>
      <c r="D6" s="667"/>
      <c r="E6" s="667"/>
      <c r="AQ6" s="668"/>
      <c r="AR6" s="668"/>
      <c r="AS6" s="668"/>
      <c r="AT6" s="668"/>
      <c r="AU6" s="668"/>
      <c r="AV6" s="557"/>
    </row>
    <row r="7" spans="1:50" ht="15.95" customHeight="1">
      <c r="A7" s="665" t="s">
        <v>20</v>
      </c>
      <c r="B7" s="665"/>
      <c r="C7" s="665"/>
      <c r="D7" s="665"/>
      <c r="E7" s="665"/>
      <c r="AQ7" s="665" t="s">
        <v>179</v>
      </c>
      <c r="AR7" s="665"/>
      <c r="AS7" s="665"/>
      <c r="AT7" s="665"/>
      <c r="AU7" s="665"/>
      <c r="AV7" s="556"/>
    </row>
    <row r="8" spans="1:50" ht="15.95" customHeight="1" thickBot="1">
      <c r="A8" s="665"/>
      <c r="B8" s="665"/>
      <c r="C8" s="665"/>
      <c r="D8" s="665"/>
      <c r="E8" s="665"/>
      <c r="AQ8" s="674" t="str">
        <f ca="1">PROJSTATUS_N</f>
        <v>Enter Measures</v>
      </c>
      <c r="AR8" s="674"/>
      <c r="AS8" s="674"/>
      <c r="AT8" s="674"/>
      <c r="AU8" s="674"/>
      <c r="AV8" s="558"/>
    </row>
    <row r="9" spans="1:50" s="79" customFormat="1" ht="15.95" customHeight="1">
      <c r="A9" s="636" t="str">
        <f>N3S1</f>
        <v>Incentive Categories</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50" s="79" customFormat="1"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50" s="79" customFormat="1" ht="15.95" customHeight="1">
      <c r="A11" s="97"/>
      <c r="B11" s="97"/>
      <c r="C11" s="97"/>
      <c r="D11" s="97"/>
      <c r="E11" s="97"/>
      <c r="F11" s="97"/>
      <c r="G11" s="774" t="s">
        <v>2348</v>
      </c>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c r="AG11" s="774"/>
      <c r="AH11" s="774"/>
      <c r="AI11" s="774"/>
      <c r="AJ11" s="774"/>
      <c r="AK11" s="774"/>
      <c r="AL11" s="774"/>
      <c r="AM11" s="774"/>
      <c r="AN11" s="774"/>
      <c r="AO11" s="774"/>
      <c r="AP11" s="774"/>
      <c r="AQ11" s="97"/>
      <c r="AR11" s="97"/>
      <c r="AS11" s="97"/>
      <c r="AT11" s="97"/>
      <c r="AU11" s="97"/>
      <c r="AV11" s="97"/>
      <c r="AW11" s="97"/>
    </row>
    <row r="12" spans="1:50" ht="15.95" customHeight="1">
      <c r="A12" s="81"/>
      <c r="B12" s="81"/>
      <c r="C12" s="81"/>
      <c r="D12" s="81"/>
      <c r="E12" s="81"/>
      <c r="F12" s="81"/>
      <c r="G12" s="774"/>
      <c r="H12" s="774"/>
      <c r="I12" s="774"/>
      <c r="J12" s="774"/>
      <c r="K12" s="774"/>
      <c r="L12" s="774"/>
      <c r="M12" s="774"/>
      <c r="N12" s="774"/>
      <c r="O12" s="774"/>
      <c r="P12" s="774"/>
      <c r="Q12" s="774"/>
      <c r="R12" s="774"/>
      <c r="S12" s="774"/>
      <c r="T12" s="774"/>
      <c r="U12" s="774"/>
      <c r="V12" s="774"/>
      <c r="W12" s="774"/>
      <c r="X12" s="774"/>
      <c r="Y12" s="774"/>
      <c r="Z12" s="774"/>
      <c r="AA12" s="774"/>
      <c r="AB12" s="774"/>
      <c r="AC12" s="774"/>
      <c r="AD12" s="774"/>
      <c r="AE12" s="774"/>
      <c r="AF12" s="774"/>
      <c r="AG12" s="774"/>
      <c r="AH12" s="774"/>
      <c r="AI12" s="774"/>
      <c r="AJ12" s="774"/>
      <c r="AK12" s="774"/>
      <c r="AL12" s="774"/>
      <c r="AM12" s="774"/>
      <c r="AN12" s="774"/>
      <c r="AO12" s="774"/>
      <c r="AP12" s="774"/>
      <c r="AQ12" s="81"/>
      <c r="AR12" s="81"/>
      <c r="AS12" s="81"/>
      <c r="AT12" s="81"/>
      <c r="AU12" s="81"/>
      <c r="AV12" s="81"/>
      <c r="AW12" s="81"/>
      <c r="AX12" s="81"/>
    </row>
    <row r="13" spans="1:50" ht="15.95" customHeight="1">
      <c r="A13" s="81"/>
      <c r="B13" s="81"/>
      <c r="G13" s="774"/>
      <c r="H13" s="774"/>
      <c r="I13" s="774"/>
      <c r="J13" s="774"/>
      <c r="K13" s="774"/>
      <c r="L13" s="774"/>
      <c r="M13" s="774"/>
      <c r="N13" s="774"/>
      <c r="O13" s="774"/>
      <c r="P13" s="774"/>
      <c r="Q13" s="774"/>
      <c r="R13" s="774"/>
      <c r="S13" s="774"/>
      <c r="T13" s="774"/>
      <c r="U13" s="774"/>
      <c r="V13" s="774"/>
      <c r="W13" s="774"/>
      <c r="X13" s="774"/>
      <c r="Y13" s="774"/>
      <c r="Z13" s="774"/>
      <c r="AA13" s="774"/>
      <c r="AB13" s="774"/>
      <c r="AC13" s="774"/>
      <c r="AD13" s="774"/>
      <c r="AE13" s="774"/>
      <c r="AF13" s="774"/>
      <c r="AG13" s="774"/>
      <c r="AH13" s="774"/>
      <c r="AI13" s="774"/>
      <c r="AJ13" s="774"/>
      <c r="AK13" s="774"/>
      <c r="AL13" s="774"/>
      <c r="AM13" s="774"/>
      <c r="AN13" s="774"/>
      <c r="AO13" s="774"/>
      <c r="AP13" s="774"/>
      <c r="AS13" s="81"/>
      <c r="AT13" s="81"/>
      <c r="AU13" s="81"/>
      <c r="AV13" s="81"/>
      <c r="AW13" s="81"/>
      <c r="AX13" s="81"/>
    </row>
    <row r="14" spans="1:50" ht="15.95" customHeight="1">
      <c r="G14" s="774"/>
      <c r="H14" s="774"/>
      <c r="I14" s="774"/>
      <c r="J14" s="774"/>
      <c r="K14" s="774"/>
      <c r="L14" s="774"/>
      <c r="M14" s="774"/>
      <c r="N14" s="774"/>
      <c r="O14" s="774"/>
      <c r="P14" s="774"/>
      <c r="Q14" s="774"/>
      <c r="R14" s="774"/>
      <c r="S14" s="774"/>
      <c r="T14" s="774"/>
      <c r="U14" s="774"/>
      <c r="V14" s="774"/>
      <c r="W14" s="774"/>
      <c r="X14" s="774"/>
      <c r="Y14" s="774"/>
      <c r="Z14" s="774"/>
      <c r="AA14" s="774"/>
      <c r="AB14" s="774"/>
      <c r="AC14" s="774"/>
      <c r="AD14" s="774"/>
      <c r="AE14" s="774"/>
      <c r="AF14" s="774"/>
      <c r="AG14" s="774"/>
      <c r="AH14" s="774"/>
      <c r="AI14" s="774"/>
      <c r="AJ14" s="774"/>
      <c r="AK14" s="774"/>
      <c r="AL14" s="774"/>
      <c r="AM14" s="774"/>
      <c r="AN14" s="774"/>
      <c r="AO14" s="774"/>
      <c r="AP14" s="774"/>
    </row>
    <row r="15" spans="1:50" ht="15.95" customHeight="1">
      <c r="M15" s="80"/>
      <c r="N15" s="80"/>
      <c r="O15" s="80"/>
      <c r="P15" s="80"/>
      <c r="Q15" s="80"/>
      <c r="R15" s="80"/>
      <c r="S15" s="80"/>
      <c r="T15" s="80"/>
    </row>
    <row r="16" spans="1:50" ht="15.95" customHeight="1"/>
    <row r="17" spans="18:19" ht="15.95" customHeight="1"/>
    <row r="18" spans="18:19" ht="15.95" customHeight="1"/>
    <row r="19" spans="18:19" ht="15.95" customHeight="1"/>
    <row r="20" spans="18:19" ht="15.95" customHeight="1"/>
    <row r="21" spans="18:19" ht="15.95" customHeight="1"/>
    <row r="22" spans="18:19" ht="15.95" customHeight="1"/>
    <row r="23" spans="18:19" ht="15.95" customHeight="1"/>
    <row r="24" spans="18:19" ht="15.95" customHeight="1"/>
    <row r="25" spans="18:19" ht="15.95" customHeight="1"/>
    <row r="26" spans="18:19" ht="15.95" customHeight="1"/>
    <row r="27" spans="18:19" ht="15.95" customHeight="1"/>
    <row r="28" spans="18:19" ht="15.95" customHeight="1"/>
    <row r="29" spans="18:19" ht="15.95" customHeight="1"/>
    <row r="30" spans="18:19" ht="15.95" customHeight="1"/>
    <row r="31" spans="18:19" ht="15.95" customHeight="1"/>
    <row r="32" spans="18:19" ht="15.95" customHeight="1">
      <c r="R32" s="78"/>
      <c r="S32" s="78"/>
    </row>
    <row r="33" spans="17:35" ht="15.95" customHeight="1">
      <c r="Q33" s="356"/>
      <c r="R33" s="78"/>
      <c r="S33" s="78"/>
      <c r="T33" s="356"/>
      <c r="U33" s="356"/>
      <c r="V33" s="356"/>
      <c r="W33" s="356"/>
      <c r="X33" s="356"/>
      <c r="Y33" s="356"/>
      <c r="Z33" s="356"/>
      <c r="AC33" s="356"/>
      <c r="AD33" s="356"/>
      <c r="AE33" s="356"/>
      <c r="AF33" s="356"/>
      <c r="AG33" s="356"/>
      <c r="AH33" s="356"/>
      <c r="AI33" s="356"/>
    </row>
    <row r="34" spans="17:35" ht="15.95" customHeight="1"/>
    <row r="35" spans="17:35" ht="15.95" customHeight="1"/>
    <row r="36" spans="17:35" ht="15.95" customHeight="1"/>
    <row r="37" spans="17:35" ht="15.95"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vMwxE2JWCZUtiGM5FwCZlBnIAEEPKT9wIOMj/A4oxz/IsWHH+bX1BK/0J/kk2VRVMf/GzKW0vvD+teNoMB2eA==" saltValue="eQDkMekLwI+bA+vsOLRFXA==" spinCount="100000" sheet="1" objects="1" scenarios="1" selectLockedCells="1"/>
  <mergeCells count="15">
    <mergeCell ref="G11:AP14"/>
    <mergeCell ref="M200:AG201"/>
    <mergeCell ref="A5:E6"/>
    <mergeCell ref="AQ5:AU6"/>
    <mergeCell ref="A7:E7"/>
    <mergeCell ref="AQ7:AU7"/>
    <mergeCell ref="A8:E8"/>
    <mergeCell ref="AQ8:AU8"/>
    <mergeCell ref="A9:AW10"/>
    <mergeCell ref="AT1:AW3"/>
    <mergeCell ref="F1:I3"/>
    <mergeCell ref="J1:M3"/>
    <mergeCell ref="O1:AE3"/>
    <mergeCell ref="AL1:AO3"/>
    <mergeCell ref="AP1:AS3"/>
  </mergeCells>
  <conditionalFormatting sqref="AQ8:AV8">
    <cfRule type="expression" dxfId="140" priority="1548">
      <formula>IF($AQ$8=PROJSTATMEASURE,FALSE,TRUE)</formula>
    </cfRule>
  </conditionalFormatting>
  <hyperlinks>
    <hyperlink ref="B202" r:id="rId1" display="businessrebates@evergy.com" xr:uid="{A3826601-1BBF-47AA-BD89-443754582251}"/>
  </hyperlinks>
  <printOptions horizontalCentered="1"/>
  <pageMargins left="0" right="0" top="0" bottom="0" header="0" footer="0"/>
  <pageSetup scale="4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CB69-C843-451B-B13B-5A468A6D9912}">
  <sheetPr codeName="Sheet83">
    <tabColor theme="9" tint="0.59999389629810485"/>
    <pageSetUpPr fitToPage="1"/>
  </sheetPr>
  <dimension ref="A1:AW202"/>
  <sheetViews>
    <sheetView showGridLines="0" showRowColHeaders="0" zoomScale="85" zoomScaleNormal="85" workbookViewId="0"/>
  </sheetViews>
  <sheetFormatPr defaultColWidth="0" defaultRowHeight="15" zeroHeight="1"/>
  <cols>
    <col min="1" max="49" width="4.7109375" customWidth="1"/>
    <col min="50" max="75" width="9.140625" hidden="1" customWidth="1"/>
    <col min="76" max="16384" width="9.14062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B4" s="199"/>
      <c r="C4" s="199"/>
      <c r="D4" s="199"/>
      <c r="E4" s="199"/>
    </row>
    <row r="5" spans="1:49" ht="15.95" customHeight="1">
      <c r="A5" s="667">
        <f>INCENTOTAL_N</f>
        <v>0</v>
      </c>
      <c r="B5" s="667"/>
      <c r="C5" s="667"/>
      <c r="D5" s="667"/>
      <c r="E5" s="667"/>
      <c r="AQ5" s="668">
        <f ca="1">PROGRESSSTATUS_N</f>
        <v>0</v>
      </c>
      <c r="AR5" s="668"/>
      <c r="AS5" s="668"/>
      <c r="AT5" s="668"/>
      <c r="AU5" s="668"/>
      <c r="AV5" s="557"/>
    </row>
    <row r="6" spans="1:49" ht="15.95" customHeight="1">
      <c r="A6" s="667"/>
      <c r="B6" s="667"/>
      <c r="C6" s="667"/>
      <c r="D6" s="667"/>
      <c r="E6" s="667"/>
      <c r="AQ6" s="668"/>
      <c r="AR6" s="668"/>
      <c r="AS6" s="668"/>
      <c r="AT6" s="668"/>
      <c r="AU6" s="668"/>
      <c r="AV6" s="557"/>
    </row>
    <row r="7" spans="1:49" ht="15.95" customHeight="1">
      <c r="A7" s="665" t="s">
        <v>20</v>
      </c>
      <c r="B7" s="665"/>
      <c r="C7" s="665"/>
      <c r="D7" s="665"/>
      <c r="E7" s="665"/>
      <c r="AQ7" s="665" t="s">
        <v>179</v>
      </c>
      <c r="AR7" s="665"/>
      <c r="AS7" s="665"/>
      <c r="AT7" s="665"/>
      <c r="AU7" s="665"/>
      <c r="AV7" s="556"/>
    </row>
    <row r="8" spans="1:49" ht="15.95" customHeight="1" thickBot="1">
      <c r="A8" s="665"/>
      <c r="B8" s="665"/>
      <c r="C8" s="665"/>
      <c r="D8" s="665"/>
      <c r="E8" s="665"/>
      <c r="AQ8" s="674" t="str">
        <f ca="1">PROJSTATUS_N</f>
        <v>Enter Measures</v>
      </c>
      <c r="AR8" s="674"/>
      <c r="AS8" s="674"/>
      <c r="AT8" s="674"/>
      <c r="AU8" s="674"/>
      <c r="AV8" s="558"/>
    </row>
    <row r="9" spans="1:49" ht="15.95" customHeight="1">
      <c r="A9" s="636" t="str">
        <f>N3S2</f>
        <v>Interior Lighting</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49" ht="15.95" customHeight="1">
      <c r="A11" s="97"/>
      <c r="B11" s="97"/>
      <c r="C11" s="97"/>
      <c r="D11" s="97"/>
      <c r="E11" s="97"/>
      <c r="F11" s="673" t="s">
        <v>1683</v>
      </c>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97"/>
      <c r="AQ11" s="97"/>
      <c r="AR11" s="97"/>
      <c r="AS11" s="97"/>
      <c r="AT11" s="97"/>
      <c r="AU11" s="97"/>
      <c r="AV11" s="97"/>
      <c r="AW11" s="97"/>
    </row>
    <row r="12" spans="1:49" ht="15.95" customHeight="1">
      <c r="A12" s="81"/>
      <c r="B12" s="81"/>
      <c r="C12" s="81"/>
      <c r="D12" s="81"/>
      <c r="E12" s="81"/>
      <c r="F12" s="81"/>
      <c r="G12" s="81"/>
      <c r="H12" s="81"/>
      <c r="I12" s="81"/>
      <c r="R12" s="80"/>
      <c r="S12" s="80"/>
      <c r="T12" s="80"/>
      <c r="U12" s="80"/>
      <c r="V12" s="80"/>
      <c r="W12" s="80"/>
      <c r="X12" s="80"/>
      <c r="Y12" s="80"/>
      <c r="Z12" s="80"/>
      <c r="AA12" s="80"/>
      <c r="AB12" s="80"/>
      <c r="AC12" s="80"/>
      <c r="AD12" s="80"/>
      <c r="AE12" s="80"/>
      <c r="AF12" s="80"/>
      <c r="AG12" s="80"/>
      <c r="AK12" s="81"/>
      <c r="AL12" s="81"/>
      <c r="AM12" s="81"/>
      <c r="AN12" s="81"/>
      <c r="AO12" s="81"/>
      <c r="AP12" s="81"/>
      <c r="AQ12" s="81"/>
      <c r="AR12" s="81"/>
      <c r="AS12" s="81"/>
      <c r="AT12" s="81"/>
      <c r="AU12" s="81"/>
      <c r="AV12" s="81"/>
      <c r="AW12" s="81"/>
    </row>
    <row r="13" spans="1:49" ht="15.95" customHeight="1">
      <c r="A13" s="81"/>
      <c r="B13" s="81"/>
      <c r="AR13" s="81"/>
      <c r="AS13" s="81"/>
      <c r="AT13" s="81"/>
      <c r="AU13" s="81"/>
      <c r="AV13" s="81"/>
      <c r="AW13" s="81"/>
    </row>
    <row r="14" spans="1:49" ht="15.95" customHeight="1"/>
    <row r="15" spans="1:49" ht="15.95" customHeight="1"/>
    <row r="16" spans="1:4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hidden="1" customHeight="1"/>
    <row r="28" ht="15.95" hidden="1" customHeight="1"/>
    <row r="29" ht="15.95" hidden="1" customHeight="1"/>
    <row r="30" ht="15.95" hidden="1" customHeight="1"/>
    <row r="31" ht="15.95" hidden="1" customHeight="1"/>
    <row r="32" ht="15.95" hidden="1" customHeight="1"/>
    <row r="33" spans="17:35" ht="15.95" hidden="1" customHeight="1"/>
    <row r="34" spans="17:35" ht="15.95" hidden="1" customHeight="1">
      <c r="T34" s="775"/>
      <c r="U34" s="775"/>
      <c r="V34" s="775"/>
      <c r="W34" s="775"/>
      <c r="X34" s="775"/>
      <c r="Y34" s="775"/>
      <c r="Z34" s="775"/>
    </row>
    <row r="35" spans="17:35" ht="15.95" hidden="1" customHeight="1">
      <c r="R35" s="78"/>
      <c r="S35" s="78"/>
      <c r="T35" s="775"/>
      <c r="U35" s="775"/>
      <c r="V35" s="775"/>
      <c r="W35" s="775"/>
      <c r="X35" s="775"/>
      <c r="Y35" s="775"/>
      <c r="Z35" s="775"/>
    </row>
    <row r="36" spans="17:35" ht="15.95" hidden="1" customHeight="1">
      <c r="Q36" s="82"/>
      <c r="R36" s="78"/>
      <c r="S36" s="78"/>
      <c r="T36" s="82"/>
      <c r="U36" s="82"/>
      <c r="V36" s="82"/>
      <c r="W36" s="82"/>
      <c r="X36" s="82"/>
      <c r="Y36" s="82"/>
      <c r="Z36" s="82"/>
      <c r="AC36" s="82"/>
      <c r="AD36" s="82"/>
      <c r="AE36" s="82"/>
      <c r="AF36" s="82"/>
      <c r="AG36" s="82"/>
      <c r="AH36" s="82"/>
      <c r="AI36" s="82"/>
    </row>
    <row r="37" spans="17:35" ht="15.95" hidden="1" customHeight="1"/>
    <row r="38" spans="17:35" ht="15.95" hidden="1" customHeight="1"/>
    <row r="39" spans="17:35" ht="15.95" hidden="1" customHeight="1"/>
    <row r="40" spans="17:35" ht="15.95" hidden="1" customHeight="1"/>
    <row r="41" spans="17:35" ht="15.95" hidden="1" customHeight="1"/>
    <row r="42" spans="17:35" ht="15.95" hidden="1" customHeight="1"/>
    <row r="43" spans="17:35" ht="15.95" hidden="1" customHeight="1"/>
    <row r="44" spans="17:35" ht="15.95" hidden="1" customHeight="1"/>
    <row r="45" spans="17:35" ht="15.95" hidden="1" customHeight="1"/>
    <row r="46" spans="17:35" ht="15.95" hidden="1" customHeight="1"/>
    <row r="47" spans="17:35" ht="15.95" hidden="1" customHeight="1"/>
    <row r="48" spans="17:35"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cKW8Ck/ETA3al1z7EVyMN2S/D2CZFkg4K9xUtHx1p8ftMN8bp4ZKtih7OFQAt6VoDYq4iJRSZgTbClYPJYshYg==" saltValue="qHcVC01G0yby8YKBa2BB1g==" spinCount="100000" sheet="1" objects="1" scenarios="1"/>
  <mergeCells count="16">
    <mergeCell ref="F11:AO11"/>
    <mergeCell ref="T34:Z35"/>
    <mergeCell ref="M200:AG201"/>
    <mergeCell ref="A5:E6"/>
    <mergeCell ref="AQ5:AU6"/>
    <mergeCell ref="A7:E7"/>
    <mergeCell ref="AQ7:AU7"/>
    <mergeCell ref="A8:E8"/>
    <mergeCell ref="AQ8:AU8"/>
    <mergeCell ref="A9:AW10"/>
    <mergeCell ref="AT1:AW3"/>
    <mergeCell ref="F1:I3"/>
    <mergeCell ref="J1:M3"/>
    <mergeCell ref="O1:AE3"/>
    <mergeCell ref="AL1:AO3"/>
    <mergeCell ref="AP1:AS3"/>
  </mergeCells>
  <conditionalFormatting sqref="AQ8:AV8">
    <cfRule type="expression" dxfId="139" priority="1568">
      <formula>IF($AQ$8=PROJSTATMEASURE,FALSE,TRUE)</formula>
    </cfRule>
  </conditionalFormatting>
  <hyperlinks>
    <hyperlink ref="B202" r:id="rId1" display="businessrebates@evergy.com" xr:uid="{F91B9D4B-9481-49DC-82D0-9EBEB54AFAAA}"/>
  </hyperlinks>
  <printOptions horizontalCentered="1"/>
  <pageMargins left="0" right="0" top="0" bottom="0" header="0" footer="0"/>
  <pageSetup scale="4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C01B9-A991-439E-8E78-77782DCB9C32}">
  <sheetPr codeName="Sheet80">
    <tabColor theme="9" tint="0.59999389629810485"/>
    <pageSetUpPr fitToPage="1"/>
  </sheetPr>
  <dimension ref="A1:BW214"/>
  <sheetViews>
    <sheetView showGridLines="0" showRowColHeaders="0" zoomScale="85" zoomScaleNormal="85" workbookViewId="0"/>
  </sheetViews>
  <sheetFormatPr defaultColWidth="0" defaultRowHeight="14.25" customHeight="1" zeroHeight="1"/>
  <cols>
    <col min="1" max="49" width="4.7109375" style="21" customWidth="1"/>
    <col min="50" max="75" width="8.85546875" style="21" hidden="1" customWidth="1"/>
    <col min="76" max="16384" width="4.7109375" style="21" hidden="1"/>
  </cols>
  <sheetData>
    <row r="1" spans="1:49" customFormat="1"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customFormat="1"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customFormat="1"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A4"/>
      <c r="B4" s="199"/>
      <c r="C4" s="199"/>
      <c r="D4" s="199"/>
      <c r="E4" s="19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row>
    <row r="5" spans="1:49" ht="15.95" customHeight="1">
      <c r="A5" s="667">
        <f>INCENTOTAL_N</f>
        <v>0</v>
      </c>
      <c r="B5" s="667"/>
      <c r="C5" s="667"/>
      <c r="D5" s="667"/>
      <c r="E5" s="667"/>
      <c r="F5"/>
      <c r="G5"/>
      <c r="H5"/>
      <c r="I5"/>
      <c r="J5"/>
      <c r="K5"/>
      <c r="L5"/>
      <c r="M5"/>
      <c r="N5"/>
      <c r="O5"/>
      <c r="P5"/>
      <c r="Q5"/>
      <c r="R5"/>
      <c r="S5"/>
      <c r="T5"/>
      <c r="U5"/>
      <c r="V5"/>
      <c r="W5"/>
      <c r="X5"/>
      <c r="Y5"/>
      <c r="Z5"/>
      <c r="AA5"/>
      <c r="AB5"/>
      <c r="AC5"/>
      <c r="AD5"/>
      <c r="AE5"/>
      <c r="AF5"/>
      <c r="AG5"/>
      <c r="AH5"/>
      <c r="AI5"/>
      <c r="AJ5"/>
      <c r="AK5"/>
      <c r="AL5"/>
      <c r="AM5"/>
      <c r="AN5"/>
      <c r="AQ5" s="668">
        <f ca="1">PROGRESSSTATUS_N</f>
        <v>0</v>
      </c>
      <c r="AR5" s="668"/>
      <c r="AS5" s="668"/>
      <c r="AT5" s="668"/>
      <c r="AU5" s="668"/>
      <c r="AV5"/>
    </row>
    <row r="6" spans="1:49" ht="15.95" customHeight="1">
      <c r="A6" s="667"/>
      <c r="B6" s="667"/>
      <c r="C6" s="667"/>
      <c r="D6" s="667"/>
      <c r="E6" s="667"/>
      <c r="F6"/>
      <c r="G6"/>
      <c r="H6"/>
      <c r="I6"/>
      <c r="J6"/>
      <c r="K6"/>
      <c r="L6"/>
      <c r="M6"/>
      <c r="N6"/>
      <c r="O6"/>
      <c r="P6"/>
      <c r="Q6"/>
      <c r="R6"/>
      <c r="S6"/>
      <c r="T6"/>
      <c r="U6"/>
      <c r="V6"/>
      <c r="W6"/>
      <c r="X6"/>
      <c r="Y6"/>
      <c r="Z6"/>
      <c r="AA6"/>
      <c r="AB6"/>
      <c r="AC6"/>
      <c r="AD6"/>
      <c r="AE6"/>
      <c r="AF6"/>
      <c r="AG6"/>
      <c r="AH6"/>
      <c r="AI6"/>
      <c r="AJ6"/>
      <c r="AK6"/>
      <c r="AL6"/>
      <c r="AM6"/>
      <c r="AN6"/>
      <c r="AQ6" s="668"/>
      <c r="AR6" s="668"/>
      <c r="AS6" s="668"/>
      <c r="AT6" s="668"/>
      <c r="AU6" s="668"/>
      <c r="AV6"/>
    </row>
    <row r="7" spans="1:49" ht="15.95" customHeight="1">
      <c r="A7" s="665" t="s">
        <v>20</v>
      </c>
      <c r="B7" s="665"/>
      <c r="C7" s="665"/>
      <c r="D7" s="665"/>
      <c r="E7" s="665"/>
      <c r="F7"/>
      <c r="G7"/>
      <c r="H7"/>
      <c r="I7"/>
      <c r="J7"/>
      <c r="K7"/>
      <c r="L7"/>
      <c r="M7"/>
      <c r="N7"/>
      <c r="O7"/>
      <c r="P7"/>
      <c r="Q7"/>
      <c r="R7"/>
      <c r="S7"/>
      <c r="T7"/>
      <c r="U7"/>
      <c r="V7"/>
      <c r="W7"/>
      <c r="X7"/>
      <c r="Y7"/>
      <c r="Z7"/>
      <c r="AA7"/>
      <c r="AB7"/>
      <c r="AC7"/>
      <c r="AD7"/>
      <c r="AE7"/>
      <c r="AF7"/>
      <c r="AG7"/>
      <c r="AH7"/>
      <c r="AI7"/>
      <c r="AJ7"/>
      <c r="AK7"/>
      <c r="AL7"/>
      <c r="AM7"/>
      <c r="AN7"/>
      <c r="AQ7" s="665" t="s">
        <v>179</v>
      </c>
      <c r="AR7" s="665"/>
      <c r="AS7" s="665"/>
      <c r="AT7" s="665"/>
      <c r="AU7" s="665"/>
      <c r="AV7"/>
    </row>
    <row r="8" spans="1:49" ht="15.95" customHeight="1" thickBot="1">
      <c r="A8" s="665"/>
      <c r="B8" s="665"/>
      <c r="C8" s="665"/>
      <c r="D8" s="665"/>
      <c r="E8" s="665"/>
      <c r="F8"/>
      <c r="G8"/>
      <c r="H8"/>
      <c r="I8"/>
      <c r="J8"/>
      <c r="K8"/>
      <c r="L8"/>
      <c r="M8"/>
      <c r="N8"/>
      <c r="O8"/>
      <c r="P8"/>
      <c r="Q8"/>
      <c r="R8"/>
      <c r="S8"/>
      <c r="T8"/>
      <c r="U8"/>
      <c r="V8"/>
      <c r="W8"/>
      <c r="X8"/>
      <c r="Y8"/>
      <c r="Z8"/>
      <c r="AA8"/>
      <c r="AB8"/>
      <c r="AC8"/>
      <c r="AD8"/>
      <c r="AE8"/>
      <c r="AF8"/>
      <c r="AG8"/>
      <c r="AH8"/>
      <c r="AI8"/>
      <c r="AJ8"/>
      <c r="AK8"/>
      <c r="AL8"/>
      <c r="AM8"/>
      <c r="AN8"/>
      <c r="AQ8" s="674" t="str">
        <f ca="1">PROJSTATUS_N</f>
        <v>Enter Measures</v>
      </c>
      <c r="AR8" s="674"/>
      <c r="AS8" s="674"/>
      <c r="AT8" s="674"/>
      <c r="AU8" s="674"/>
      <c r="AV8"/>
    </row>
    <row r="9" spans="1:49" ht="15.95" customHeight="1">
      <c r="A9" s="636" t="str">
        <f>N3S2&amp;": Step 1 - Lighting Schedule"</f>
        <v>Interior Lighting: Step 1 - Lighting Schedule</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49" customFormat="1" ht="15.95" customHeight="1">
      <c r="A11" s="112"/>
      <c r="B11" s="112"/>
      <c r="C11" s="113"/>
      <c r="D11" s="113"/>
      <c r="E11" s="112"/>
      <c r="F11" s="159"/>
      <c r="G11" s="159"/>
      <c r="H11" s="159"/>
      <c r="I11" s="776" t="s">
        <v>2032</v>
      </c>
      <c r="J11" s="776"/>
      <c r="K11" s="776"/>
      <c r="L11" s="776"/>
      <c r="M11" s="776"/>
      <c r="N11" s="776"/>
      <c r="O11" s="776"/>
      <c r="P11" s="776"/>
      <c r="Q11" s="776"/>
      <c r="R11" s="776"/>
      <c r="S11" s="776"/>
      <c r="T11" s="776"/>
      <c r="U11" s="776"/>
      <c r="V11" s="776"/>
      <c r="W11" s="776"/>
      <c r="X11" s="776"/>
      <c r="Y11" s="776"/>
      <c r="Z11" s="776"/>
      <c r="AA11" s="776"/>
      <c r="AB11" s="776"/>
      <c r="AC11" s="776"/>
      <c r="AD11" s="776"/>
      <c r="AE11" s="776"/>
      <c r="AF11" s="776"/>
      <c r="AG11" s="776"/>
      <c r="AH11" s="776"/>
      <c r="AI11" s="776"/>
      <c r="AJ11" s="776"/>
      <c r="AK11" s="776"/>
    </row>
    <row r="12" spans="1:49" customFormat="1" ht="15.95" customHeight="1">
      <c r="A12" s="112"/>
      <c r="B12" s="113"/>
      <c r="C12" s="112"/>
      <c r="D12" s="300"/>
      <c r="E12" s="159"/>
      <c r="F12" s="159"/>
      <c r="G12" s="159"/>
      <c r="H12" s="159"/>
      <c r="I12" s="776"/>
      <c r="J12" s="776"/>
      <c r="K12" s="776"/>
      <c r="L12" s="776"/>
      <c r="M12" s="776"/>
      <c r="N12" s="776"/>
      <c r="O12" s="776"/>
      <c r="P12" s="776"/>
      <c r="Q12" s="776"/>
      <c r="R12" s="776"/>
      <c r="S12" s="776"/>
      <c r="T12" s="776"/>
      <c r="U12" s="776"/>
      <c r="V12" s="776"/>
      <c r="W12" s="776"/>
      <c r="X12" s="776"/>
      <c r="Y12" s="776"/>
      <c r="Z12" s="776"/>
      <c r="AA12" s="776"/>
      <c r="AB12" s="776"/>
      <c r="AC12" s="776"/>
      <c r="AD12" s="776"/>
      <c r="AE12" s="776"/>
      <c r="AF12" s="776"/>
      <c r="AG12" s="776"/>
      <c r="AH12" s="776"/>
      <c r="AI12" s="776"/>
      <c r="AJ12" s="776"/>
      <c r="AK12" s="776"/>
    </row>
    <row r="13" spans="1:49" ht="15.95" customHeight="1">
      <c r="A13" s="112"/>
      <c r="B13" s="114"/>
      <c r="C13"/>
      <c r="D13" s="114"/>
      <c r="E13" s="114"/>
      <c r="F13" s="114"/>
      <c r="G13" s="114"/>
      <c r="H13" s="114"/>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T13"/>
      <c r="AU13"/>
      <c r="AV13"/>
      <c r="AW13"/>
    </row>
    <row r="14" spans="1:49" ht="15.95" customHeight="1">
      <c r="A14" s="112"/>
      <c r="I14" s="776"/>
      <c r="J14" s="776"/>
      <c r="K14" s="776"/>
      <c r="L14" s="776"/>
      <c r="M14" s="776"/>
      <c r="N14" s="776"/>
      <c r="O14" s="776"/>
      <c r="P14" s="776"/>
      <c r="Q14" s="776"/>
      <c r="R14" s="776"/>
      <c r="S14" s="776"/>
      <c r="T14" s="776"/>
      <c r="U14" s="776"/>
      <c r="V14" s="776"/>
      <c r="W14" s="776"/>
      <c r="X14" s="776"/>
      <c r="Y14" s="776"/>
      <c r="Z14" s="776"/>
      <c r="AA14" s="776"/>
      <c r="AB14" s="776"/>
      <c r="AC14" s="776"/>
      <c r="AD14" s="776"/>
      <c r="AE14" s="776"/>
      <c r="AF14" s="776"/>
      <c r="AG14" s="776"/>
      <c r="AH14" s="776"/>
      <c r="AI14" s="776"/>
      <c r="AJ14" s="776"/>
      <c r="AK14" s="776"/>
      <c r="AT14"/>
      <c r="AU14"/>
      <c r="AV14"/>
      <c r="AW14"/>
    </row>
    <row r="15" spans="1:49" ht="15.95" customHeight="1">
      <c r="A15" s="112"/>
      <c r="B15" s="251"/>
      <c r="C15" s="301"/>
      <c r="D15" s="301"/>
      <c r="E15" s="301"/>
      <c r="F15" s="301"/>
      <c r="G15" s="301"/>
      <c r="H15" s="301"/>
      <c r="I15" s="301"/>
      <c r="J15" s="301"/>
      <c r="K15" s="301"/>
      <c r="L15" s="301"/>
      <c r="M15" s="301"/>
      <c r="N15" s="301"/>
      <c r="O15" s="302"/>
      <c r="Q15" s="251"/>
      <c r="R15" s="301"/>
      <c r="S15" s="301"/>
      <c r="T15" s="301"/>
      <c r="U15" s="301"/>
      <c r="V15" s="301"/>
      <c r="W15" s="301"/>
      <c r="X15" s="301"/>
      <c r="Y15" s="301"/>
      <c r="Z15" s="301"/>
      <c r="AA15" s="301"/>
      <c r="AB15" s="301"/>
      <c r="AC15" s="301"/>
      <c r="AD15" s="302"/>
      <c r="AF15" s="251"/>
      <c r="AG15" s="301"/>
      <c r="AH15" s="301"/>
      <c r="AI15" s="301"/>
      <c r="AJ15" s="301"/>
      <c r="AK15" s="301"/>
      <c r="AL15" s="301"/>
      <c r="AM15" s="301"/>
      <c r="AN15" s="301"/>
      <c r="AO15" s="301"/>
      <c r="AP15" s="301"/>
      <c r="AQ15" s="301"/>
      <c r="AR15" s="301"/>
      <c r="AS15" s="302"/>
      <c r="AT15"/>
      <c r="AU15"/>
      <c r="AV15"/>
      <c r="AW15"/>
    </row>
    <row r="16" spans="1:49" ht="15.95" customHeight="1">
      <c r="A16" s="112"/>
      <c r="B16" s="303"/>
      <c r="C16" s="306" t="s">
        <v>940</v>
      </c>
      <c r="D16" s="305"/>
      <c r="E16" s="305"/>
      <c r="F16" s="305"/>
      <c r="G16" s="305"/>
      <c r="H16" s="778"/>
      <c r="I16" s="778"/>
      <c r="J16" s="778"/>
      <c r="K16" s="778"/>
      <c r="L16" s="778"/>
      <c r="M16" s="778"/>
      <c r="N16" s="778"/>
      <c r="O16" s="304"/>
      <c r="Q16" s="303"/>
      <c r="R16" s="306" t="s">
        <v>941</v>
      </c>
      <c r="S16" s="305"/>
      <c r="T16" s="305"/>
      <c r="U16" s="305"/>
      <c r="V16" s="305"/>
      <c r="W16" s="778"/>
      <c r="X16" s="778"/>
      <c r="Y16" s="778"/>
      <c r="Z16" s="778"/>
      <c r="AA16" s="778"/>
      <c r="AB16" s="778"/>
      <c r="AC16" s="778"/>
      <c r="AD16" s="304"/>
      <c r="AF16" s="303"/>
      <c r="AG16" s="306" t="s">
        <v>942</v>
      </c>
      <c r="AH16" s="305"/>
      <c r="AI16" s="305"/>
      <c r="AJ16" s="305"/>
      <c r="AK16" s="305"/>
      <c r="AL16" s="778"/>
      <c r="AM16" s="778"/>
      <c r="AN16" s="778"/>
      <c r="AO16" s="778"/>
      <c r="AP16" s="778"/>
      <c r="AQ16" s="778"/>
      <c r="AR16" s="778"/>
      <c r="AS16" s="304"/>
      <c r="AT16"/>
      <c r="AU16"/>
      <c r="AV16"/>
      <c r="AW16"/>
    </row>
    <row r="17" spans="1:49" ht="15.95" customHeight="1">
      <c r="A17" s="112"/>
      <c r="B17" s="303"/>
      <c r="C17" s="306"/>
      <c r="D17" s="305"/>
      <c r="E17" s="305"/>
      <c r="F17" s="305"/>
      <c r="G17" s="305"/>
      <c r="H17" s="305"/>
      <c r="I17" s="305"/>
      <c r="J17" s="305"/>
      <c r="K17" s="305"/>
      <c r="L17" s="305"/>
      <c r="M17" s="305"/>
      <c r="N17" s="305"/>
      <c r="O17" s="304"/>
      <c r="Q17" s="303"/>
      <c r="R17" s="306"/>
      <c r="S17" s="305"/>
      <c r="T17" s="305"/>
      <c r="U17" s="305"/>
      <c r="V17" s="305"/>
      <c r="W17" s="305"/>
      <c r="X17" s="305"/>
      <c r="Y17" s="305"/>
      <c r="Z17" s="305"/>
      <c r="AA17" s="305"/>
      <c r="AB17" s="305"/>
      <c r="AC17" s="305"/>
      <c r="AD17" s="304"/>
      <c r="AF17" s="303"/>
      <c r="AG17" s="306"/>
      <c r="AH17" s="305"/>
      <c r="AI17" s="305"/>
      <c r="AJ17" s="305"/>
      <c r="AK17" s="305"/>
      <c r="AL17" s="305"/>
      <c r="AM17" s="305"/>
      <c r="AN17" s="305"/>
      <c r="AO17" s="305"/>
      <c r="AP17" s="305"/>
      <c r="AQ17" s="305"/>
      <c r="AR17" s="305"/>
      <c r="AS17" s="304"/>
      <c r="AT17"/>
      <c r="AU17"/>
      <c r="AV17"/>
      <c r="AW17"/>
    </row>
    <row r="18" spans="1:49" ht="15" customHeight="1">
      <c r="A18" s="112"/>
      <c r="B18" s="303"/>
      <c r="C18" s="782" t="s">
        <v>943</v>
      </c>
      <c r="D18" s="782"/>
      <c r="E18" s="782"/>
      <c r="F18" s="782"/>
      <c r="G18" s="782"/>
      <c r="H18" s="782"/>
      <c r="I18" s="782"/>
      <c r="J18" s="305"/>
      <c r="K18" s="782" t="s">
        <v>1482</v>
      </c>
      <c r="L18" s="782"/>
      <c r="M18" s="784" t="s">
        <v>944</v>
      </c>
      <c r="N18" s="784"/>
      <c r="O18" s="304"/>
      <c r="Q18" s="303"/>
      <c r="R18" s="782" t="s">
        <v>943</v>
      </c>
      <c r="S18" s="782"/>
      <c r="T18" s="782"/>
      <c r="U18" s="782"/>
      <c r="V18" s="782"/>
      <c r="W18" s="782"/>
      <c r="X18" s="782"/>
      <c r="Y18" s="305"/>
      <c r="Z18" s="782" t="s">
        <v>1482</v>
      </c>
      <c r="AA18" s="782"/>
      <c r="AB18" s="784" t="s">
        <v>944</v>
      </c>
      <c r="AC18" s="784"/>
      <c r="AD18" s="304"/>
      <c r="AF18" s="303"/>
      <c r="AG18" s="782" t="s">
        <v>943</v>
      </c>
      <c r="AH18" s="782"/>
      <c r="AI18" s="782"/>
      <c r="AJ18" s="782"/>
      <c r="AK18" s="782"/>
      <c r="AL18" s="782"/>
      <c r="AM18" s="782"/>
      <c r="AN18" s="305"/>
      <c r="AO18" s="782" t="s">
        <v>1482</v>
      </c>
      <c r="AP18" s="782"/>
      <c r="AQ18" s="784" t="s">
        <v>944</v>
      </c>
      <c r="AR18" s="784"/>
      <c r="AS18" s="304"/>
      <c r="AT18"/>
      <c r="AU18"/>
      <c r="AV18"/>
      <c r="AW18"/>
    </row>
    <row r="19" spans="1:49" ht="15" customHeight="1">
      <c r="A19" s="112"/>
      <c r="B19" s="303"/>
      <c r="C19" s="783"/>
      <c r="D19" s="783"/>
      <c r="E19" s="783"/>
      <c r="F19" s="783"/>
      <c r="G19" s="783"/>
      <c r="H19" s="783"/>
      <c r="I19" s="783"/>
      <c r="J19" s="306" t="s">
        <v>1483</v>
      </c>
      <c r="K19" s="782"/>
      <c r="L19" s="782"/>
      <c r="M19" s="785"/>
      <c r="N19" s="785"/>
      <c r="O19" s="308"/>
      <c r="Q19" s="303"/>
      <c r="R19" s="783"/>
      <c r="S19" s="783"/>
      <c r="T19" s="783"/>
      <c r="U19" s="783"/>
      <c r="V19" s="783"/>
      <c r="W19" s="783"/>
      <c r="X19" s="783"/>
      <c r="Y19" s="306" t="s">
        <v>1483</v>
      </c>
      <c r="Z19" s="782"/>
      <c r="AA19" s="782"/>
      <c r="AB19" s="785"/>
      <c r="AC19" s="785"/>
      <c r="AD19" s="308"/>
      <c r="AF19" s="303"/>
      <c r="AG19" s="783"/>
      <c r="AH19" s="783"/>
      <c r="AI19" s="783"/>
      <c r="AJ19" s="783"/>
      <c r="AK19" s="783"/>
      <c r="AL19" s="783"/>
      <c r="AM19" s="783"/>
      <c r="AN19" s="306" t="s">
        <v>1483</v>
      </c>
      <c r="AO19" s="782"/>
      <c r="AP19" s="782"/>
      <c r="AQ19" s="785"/>
      <c r="AR19" s="785"/>
      <c r="AS19" s="308"/>
      <c r="AT19"/>
      <c r="AU19"/>
      <c r="AV19"/>
      <c r="AW19"/>
    </row>
    <row r="20" spans="1:49" ht="15" customHeight="1">
      <c r="A20" s="112"/>
      <c r="B20" s="303">
        <v>1</v>
      </c>
      <c r="C20" s="777"/>
      <c r="D20" s="777"/>
      <c r="E20" s="777"/>
      <c r="F20" s="777"/>
      <c r="G20" s="777"/>
      <c r="H20" s="777"/>
      <c r="I20" s="777"/>
      <c r="J20" s="324"/>
      <c r="K20" s="781"/>
      <c r="L20" s="781"/>
      <c r="M20" s="780" t="str">
        <f t="shared" ref="M20" si="0">IF(AND(ISBLANK(C20),ISBLANK(J20),ISBLANK(K20)),"",(IF(OR(ISBLANK(C20),ISBLANK(J20),ISBLANK(K20)),"Enter Info",(J20*K20))))</f>
        <v/>
      </c>
      <c r="N20" s="780"/>
      <c r="O20" s="308"/>
      <c r="Q20" s="303">
        <v>1</v>
      </c>
      <c r="R20" s="779"/>
      <c r="S20" s="779"/>
      <c r="T20" s="779"/>
      <c r="U20" s="779"/>
      <c r="V20" s="779"/>
      <c r="W20" s="779"/>
      <c r="X20" s="779"/>
      <c r="Y20" s="324"/>
      <c r="Z20" s="781"/>
      <c r="AA20" s="781"/>
      <c r="AB20" s="780" t="str">
        <f t="shared" ref="AB20" si="1">IF(AND(ISBLANK(R20),ISBLANK(Y20),ISBLANK(Z20)),"",(IF(OR(ISBLANK(R20),ISBLANK(Y20),ISBLANK(Z20)),"Enter Info",(Y20*Z20))))</f>
        <v/>
      </c>
      <c r="AC20" s="780"/>
      <c r="AD20" s="308"/>
      <c r="AF20" s="303">
        <v>1</v>
      </c>
      <c r="AG20" s="779"/>
      <c r="AH20" s="779"/>
      <c r="AI20" s="779"/>
      <c r="AJ20" s="779"/>
      <c r="AK20" s="779"/>
      <c r="AL20" s="779"/>
      <c r="AM20" s="779"/>
      <c r="AN20" s="324"/>
      <c r="AO20" s="781"/>
      <c r="AP20" s="781"/>
      <c r="AQ20" s="780" t="str">
        <f t="shared" ref="AQ20" si="2">IF(AND(ISBLANK(AG20),ISBLANK(AN20),ISBLANK(AO20)),"",(IF(OR(ISBLANK(AG20),ISBLANK(AN20),ISBLANK(AO20)),"Enter Info",(AN20*AO20))))</f>
        <v/>
      </c>
      <c r="AR20" s="780"/>
      <c r="AS20" s="308"/>
      <c r="AT20"/>
      <c r="AU20"/>
      <c r="AV20"/>
      <c r="AW20"/>
    </row>
    <row r="21" spans="1:49" ht="15" customHeight="1">
      <c r="A21" s="112"/>
      <c r="B21" s="303">
        <v>2</v>
      </c>
      <c r="C21" s="777"/>
      <c r="D21" s="777"/>
      <c r="E21" s="777"/>
      <c r="F21" s="777"/>
      <c r="G21" s="777"/>
      <c r="H21" s="777"/>
      <c r="I21" s="777"/>
      <c r="J21" s="324"/>
      <c r="K21" s="781"/>
      <c r="L21" s="781"/>
      <c r="M21" s="780" t="str">
        <f t="shared" ref="M21:M49" si="3">IF(AND(ISBLANK(C21),ISBLANK(J21),ISBLANK(K21)),"",(IF(OR(ISBLANK(C21),ISBLANK(J21),ISBLANK(K21)),"Enter Info",(J21*K21))))</f>
        <v/>
      </c>
      <c r="N21" s="780"/>
      <c r="O21" s="308"/>
      <c r="Q21" s="303">
        <v>2</v>
      </c>
      <c r="R21" s="779"/>
      <c r="S21" s="779"/>
      <c r="T21" s="779"/>
      <c r="U21" s="779"/>
      <c r="V21" s="779"/>
      <c r="W21" s="779"/>
      <c r="X21" s="779"/>
      <c r="Y21" s="324"/>
      <c r="Z21" s="781"/>
      <c r="AA21" s="781"/>
      <c r="AB21" s="780" t="str">
        <f t="shared" ref="AB21:AB49" si="4">IF(AND(ISBLANK(R21),ISBLANK(Y21),ISBLANK(Z21)),"",(IF(OR(ISBLANK(R21),ISBLANK(Y21),ISBLANK(Z21)),"Enter Info",(Y21*Z21))))</f>
        <v/>
      </c>
      <c r="AC21" s="780"/>
      <c r="AD21" s="308"/>
      <c r="AF21" s="303">
        <v>2</v>
      </c>
      <c r="AG21" s="779"/>
      <c r="AH21" s="779"/>
      <c r="AI21" s="779"/>
      <c r="AJ21" s="779"/>
      <c r="AK21" s="779"/>
      <c r="AL21" s="779"/>
      <c r="AM21" s="779"/>
      <c r="AN21" s="324"/>
      <c r="AO21" s="781"/>
      <c r="AP21" s="781"/>
      <c r="AQ21" s="780" t="str">
        <f t="shared" ref="AQ21:AQ49" si="5">IF(AND(ISBLANK(AG21),ISBLANK(AN21),ISBLANK(AO21)),"",(IF(OR(ISBLANK(AG21),ISBLANK(AN21),ISBLANK(AO21)),"Enter Info",(AN21*AO21))))</f>
        <v/>
      </c>
      <c r="AR21" s="780"/>
      <c r="AS21" s="308"/>
      <c r="AT21"/>
      <c r="AU21"/>
      <c r="AV21"/>
      <c r="AW21"/>
    </row>
    <row r="22" spans="1:49" ht="15" customHeight="1">
      <c r="A22" s="112"/>
      <c r="B22" s="303">
        <v>3</v>
      </c>
      <c r="C22" s="777"/>
      <c r="D22" s="777"/>
      <c r="E22" s="777"/>
      <c r="F22" s="777"/>
      <c r="G22" s="777"/>
      <c r="H22" s="777"/>
      <c r="I22" s="777"/>
      <c r="J22" s="325"/>
      <c r="K22" s="781"/>
      <c r="L22" s="781"/>
      <c r="M22" s="780" t="str">
        <f t="shared" si="3"/>
        <v/>
      </c>
      <c r="N22" s="780"/>
      <c r="O22" s="308"/>
      <c r="Q22" s="303">
        <v>3</v>
      </c>
      <c r="R22" s="779"/>
      <c r="S22" s="779"/>
      <c r="T22" s="779"/>
      <c r="U22" s="779"/>
      <c r="V22" s="779"/>
      <c r="W22" s="779"/>
      <c r="X22" s="779"/>
      <c r="Y22" s="325"/>
      <c r="Z22" s="781"/>
      <c r="AA22" s="781"/>
      <c r="AB22" s="780" t="str">
        <f t="shared" si="4"/>
        <v/>
      </c>
      <c r="AC22" s="780"/>
      <c r="AD22" s="308"/>
      <c r="AF22" s="303">
        <v>3</v>
      </c>
      <c r="AG22" s="779"/>
      <c r="AH22" s="779"/>
      <c r="AI22" s="779"/>
      <c r="AJ22" s="779"/>
      <c r="AK22" s="779"/>
      <c r="AL22" s="779"/>
      <c r="AM22" s="779"/>
      <c r="AN22" s="325"/>
      <c r="AO22" s="781"/>
      <c r="AP22" s="781"/>
      <c r="AQ22" s="780" t="str">
        <f t="shared" si="5"/>
        <v/>
      </c>
      <c r="AR22" s="780"/>
      <c r="AS22" s="308"/>
      <c r="AT22"/>
      <c r="AU22"/>
      <c r="AV22"/>
      <c r="AW22"/>
    </row>
    <row r="23" spans="1:49" ht="15" customHeight="1">
      <c r="A23" s="112"/>
      <c r="B23" s="303">
        <v>4</v>
      </c>
      <c r="C23" s="777"/>
      <c r="D23" s="777"/>
      <c r="E23" s="777"/>
      <c r="F23" s="777"/>
      <c r="G23" s="777"/>
      <c r="H23" s="777"/>
      <c r="I23" s="777"/>
      <c r="J23" s="324"/>
      <c r="K23" s="781"/>
      <c r="L23" s="781"/>
      <c r="M23" s="780" t="str">
        <f t="shared" si="3"/>
        <v/>
      </c>
      <c r="N23" s="780"/>
      <c r="O23" s="308"/>
      <c r="Q23" s="303">
        <v>4</v>
      </c>
      <c r="R23" s="779"/>
      <c r="S23" s="779"/>
      <c r="T23" s="779"/>
      <c r="U23" s="779"/>
      <c r="V23" s="779"/>
      <c r="W23" s="779"/>
      <c r="X23" s="779"/>
      <c r="Y23" s="324"/>
      <c r="Z23" s="781"/>
      <c r="AA23" s="781"/>
      <c r="AB23" s="780" t="str">
        <f t="shared" si="4"/>
        <v/>
      </c>
      <c r="AC23" s="780"/>
      <c r="AD23" s="308"/>
      <c r="AF23" s="303">
        <v>4</v>
      </c>
      <c r="AG23" s="779"/>
      <c r="AH23" s="779"/>
      <c r="AI23" s="779"/>
      <c r="AJ23" s="779"/>
      <c r="AK23" s="779"/>
      <c r="AL23" s="779"/>
      <c r="AM23" s="779"/>
      <c r="AN23" s="324"/>
      <c r="AO23" s="781"/>
      <c r="AP23" s="781"/>
      <c r="AQ23" s="780" t="str">
        <f t="shared" si="5"/>
        <v/>
      </c>
      <c r="AR23" s="780"/>
      <c r="AS23" s="308"/>
      <c r="AT23"/>
      <c r="AU23"/>
      <c r="AV23"/>
      <c r="AW23"/>
    </row>
    <row r="24" spans="1:49" ht="15" customHeight="1">
      <c r="A24" s="112"/>
      <c r="B24" s="303">
        <v>5</v>
      </c>
      <c r="C24" s="777"/>
      <c r="D24" s="777"/>
      <c r="E24" s="777"/>
      <c r="F24" s="777"/>
      <c r="G24" s="777"/>
      <c r="H24" s="777"/>
      <c r="I24" s="777"/>
      <c r="J24" s="324"/>
      <c r="K24" s="781"/>
      <c r="L24" s="781"/>
      <c r="M24" s="780" t="str">
        <f t="shared" si="3"/>
        <v/>
      </c>
      <c r="N24" s="780"/>
      <c r="O24" s="308"/>
      <c r="Q24" s="303">
        <v>5</v>
      </c>
      <c r="R24" s="779"/>
      <c r="S24" s="779"/>
      <c r="T24" s="779"/>
      <c r="U24" s="779"/>
      <c r="V24" s="779"/>
      <c r="W24" s="779"/>
      <c r="X24" s="779"/>
      <c r="Y24" s="324"/>
      <c r="Z24" s="781"/>
      <c r="AA24" s="781"/>
      <c r="AB24" s="780" t="str">
        <f t="shared" si="4"/>
        <v/>
      </c>
      <c r="AC24" s="780"/>
      <c r="AD24" s="308"/>
      <c r="AF24" s="303">
        <v>5</v>
      </c>
      <c r="AG24" s="779"/>
      <c r="AH24" s="779"/>
      <c r="AI24" s="779"/>
      <c r="AJ24" s="779"/>
      <c r="AK24" s="779"/>
      <c r="AL24" s="779"/>
      <c r="AM24" s="779"/>
      <c r="AN24" s="324"/>
      <c r="AO24" s="781"/>
      <c r="AP24" s="781"/>
      <c r="AQ24" s="780" t="str">
        <f t="shared" si="5"/>
        <v/>
      </c>
      <c r="AR24" s="780"/>
      <c r="AS24" s="308"/>
      <c r="AT24"/>
      <c r="AU24"/>
      <c r="AV24"/>
      <c r="AW24"/>
    </row>
    <row r="25" spans="1:49" ht="15" customHeight="1">
      <c r="A25" s="112"/>
      <c r="B25" s="303">
        <v>6</v>
      </c>
      <c r="C25" s="777"/>
      <c r="D25" s="777"/>
      <c r="E25" s="777"/>
      <c r="F25" s="777"/>
      <c r="G25" s="777"/>
      <c r="H25" s="777"/>
      <c r="I25" s="777"/>
      <c r="J25" s="324"/>
      <c r="K25" s="781"/>
      <c r="L25" s="781"/>
      <c r="M25" s="780" t="str">
        <f t="shared" si="3"/>
        <v/>
      </c>
      <c r="N25" s="780"/>
      <c r="O25" s="308"/>
      <c r="Q25" s="303">
        <v>6</v>
      </c>
      <c r="R25" s="779"/>
      <c r="S25" s="779"/>
      <c r="T25" s="779"/>
      <c r="U25" s="779"/>
      <c r="V25" s="779"/>
      <c r="W25" s="779"/>
      <c r="X25" s="779"/>
      <c r="Y25" s="324"/>
      <c r="Z25" s="781"/>
      <c r="AA25" s="781"/>
      <c r="AB25" s="780" t="str">
        <f t="shared" si="4"/>
        <v/>
      </c>
      <c r="AC25" s="780"/>
      <c r="AD25" s="308"/>
      <c r="AF25" s="303">
        <v>6</v>
      </c>
      <c r="AG25" s="779"/>
      <c r="AH25" s="779"/>
      <c r="AI25" s="779"/>
      <c r="AJ25" s="779"/>
      <c r="AK25" s="779"/>
      <c r="AL25" s="779"/>
      <c r="AM25" s="779"/>
      <c r="AN25" s="324"/>
      <c r="AO25" s="781"/>
      <c r="AP25" s="781"/>
      <c r="AQ25" s="780" t="str">
        <f t="shared" si="5"/>
        <v/>
      </c>
      <c r="AR25" s="780"/>
      <c r="AS25" s="308"/>
      <c r="AT25"/>
      <c r="AU25"/>
      <c r="AV25"/>
      <c r="AW25"/>
    </row>
    <row r="26" spans="1:49" ht="15" customHeight="1">
      <c r="A26" s="112"/>
      <c r="B26" s="303">
        <v>7</v>
      </c>
      <c r="C26" s="777"/>
      <c r="D26" s="777"/>
      <c r="E26" s="777"/>
      <c r="F26" s="777"/>
      <c r="G26" s="777"/>
      <c r="H26" s="777"/>
      <c r="I26" s="777"/>
      <c r="J26" s="324"/>
      <c r="K26" s="781"/>
      <c r="L26" s="781"/>
      <c r="M26" s="780" t="str">
        <f t="shared" si="3"/>
        <v/>
      </c>
      <c r="N26" s="780"/>
      <c r="O26" s="308"/>
      <c r="Q26" s="303">
        <v>7</v>
      </c>
      <c r="R26" s="779"/>
      <c r="S26" s="779"/>
      <c r="T26" s="779"/>
      <c r="U26" s="779"/>
      <c r="V26" s="779"/>
      <c r="W26" s="779"/>
      <c r="X26" s="779"/>
      <c r="Y26" s="324"/>
      <c r="Z26" s="781"/>
      <c r="AA26" s="781"/>
      <c r="AB26" s="780" t="str">
        <f t="shared" si="4"/>
        <v/>
      </c>
      <c r="AC26" s="780"/>
      <c r="AD26" s="308"/>
      <c r="AF26" s="303">
        <v>7</v>
      </c>
      <c r="AG26" s="779"/>
      <c r="AH26" s="779"/>
      <c r="AI26" s="779"/>
      <c r="AJ26" s="779"/>
      <c r="AK26" s="779"/>
      <c r="AL26" s="779"/>
      <c r="AM26" s="779"/>
      <c r="AN26" s="324"/>
      <c r="AO26" s="781"/>
      <c r="AP26" s="781"/>
      <c r="AQ26" s="780" t="str">
        <f t="shared" si="5"/>
        <v/>
      </c>
      <c r="AR26" s="780"/>
      <c r="AS26" s="308"/>
      <c r="AT26"/>
      <c r="AU26"/>
      <c r="AV26"/>
      <c r="AW26"/>
    </row>
    <row r="27" spans="1:49" ht="15" customHeight="1">
      <c r="A27" s="112"/>
      <c r="B27" s="303">
        <v>8</v>
      </c>
      <c r="C27" s="777"/>
      <c r="D27" s="777"/>
      <c r="E27" s="777"/>
      <c r="F27" s="777"/>
      <c r="G27" s="777"/>
      <c r="H27" s="777"/>
      <c r="I27" s="777"/>
      <c r="J27" s="324"/>
      <c r="K27" s="781"/>
      <c r="L27" s="781"/>
      <c r="M27" s="780" t="str">
        <f t="shared" si="3"/>
        <v/>
      </c>
      <c r="N27" s="780"/>
      <c r="O27" s="308"/>
      <c r="Q27" s="303">
        <v>8</v>
      </c>
      <c r="R27" s="779"/>
      <c r="S27" s="779"/>
      <c r="T27" s="779"/>
      <c r="U27" s="779"/>
      <c r="V27" s="779"/>
      <c r="W27" s="779"/>
      <c r="X27" s="779"/>
      <c r="Y27" s="324"/>
      <c r="Z27" s="781"/>
      <c r="AA27" s="781"/>
      <c r="AB27" s="780" t="str">
        <f t="shared" si="4"/>
        <v/>
      </c>
      <c r="AC27" s="780"/>
      <c r="AD27" s="308"/>
      <c r="AF27" s="303">
        <v>8</v>
      </c>
      <c r="AG27" s="779"/>
      <c r="AH27" s="779"/>
      <c r="AI27" s="779"/>
      <c r="AJ27" s="779"/>
      <c r="AK27" s="779"/>
      <c r="AL27" s="779"/>
      <c r="AM27" s="779"/>
      <c r="AN27" s="324"/>
      <c r="AO27" s="781"/>
      <c r="AP27" s="781"/>
      <c r="AQ27" s="780" t="str">
        <f t="shared" si="5"/>
        <v/>
      </c>
      <c r="AR27" s="780"/>
      <c r="AS27" s="308"/>
      <c r="AT27"/>
      <c r="AU27"/>
      <c r="AV27"/>
      <c r="AW27"/>
    </row>
    <row r="28" spans="1:49" ht="15" customHeight="1">
      <c r="A28" s="112"/>
      <c r="B28" s="303">
        <v>9</v>
      </c>
      <c r="C28" s="777"/>
      <c r="D28" s="777"/>
      <c r="E28" s="777"/>
      <c r="F28" s="777"/>
      <c r="G28" s="777"/>
      <c r="H28" s="777"/>
      <c r="I28" s="777"/>
      <c r="J28" s="324"/>
      <c r="K28" s="781"/>
      <c r="L28" s="781"/>
      <c r="M28" s="780" t="str">
        <f t="shared" si="3"/>
        <v/>
      </c>
      <c r="N28" s="780"/>
      <c r="O28" s="308"/>
      <c r="Q28" s="303">
        <v>9</v>
      </c>
      <c r="R28" s="779"/>
      <c r="S28" s="779"/>
      <c r="T28" s="779"/>
      <c r="U28" s="779"/>
      <c r="V28" s="779"/>
      <c r="W28" s="779"/>
      <c r="X28" s="779"/>
      <c r="Y28" s="324"/>
      <c r="Z28" s="781"/>
      <c r="AA28" s="781"/>
      <c r="AB28" s="780" t="str">
        <f t="shared" si="4"/>
        <v/>
      </c>
      <c r="AC28" s="780"/>
      <c r="AD28" s="308"/>
      <c r="AF28" s="303">
        <v>9</v>
      </c>
      <c r="AG28" s="779"/>
      <c r="AH28" s="779"/>
      <c r="AI28" s="779"/>
      <c r="AJ28" s="779"/>
      <c r="AK28" s="779"/>
      <c r="AL28" s="779"/>
      <c r="AM28" s="779"/>
      <c r="AN28" s="324"/>
      <c r="AO28" s="781"/>
      <c r="AP28" s="781"/>
      <c r="AQ28" s="780" t="str">
        <f t="shared" si="5"/>
        <v/>
      </c>
      <c r="AR28" s="780"/>
      <c r="AS28" s="308"/>
      <c r="AT28"/>
      <c r="AU28"/>
      <c r="AV28"/>
      <c r="AW28"/>
    </row>
    <row r="29" spans="1:49" ht="15" customHeight="1">
      <c r="A29" s="112"/>
      <c r="B29" s="303">
        <v>10</v>
      </c>
      <c r="C29" s="777"/>
      <c r="D29" s="777"/>
      <c r="E29" s="777"/>
      <c r="F29" s="777"/>
      <c r="G29" s="777"/>
      <c r="H29" s="777"/>
      <c r="I29" s="777"/>
      <c r="J29" s="324"/>
      <c r="K29" s="781"/>
      <c r="L29" s="781"/>
      <c r="M29" s="780" t="str">
        <f t="shared" si="3"/>
        <v/>
      </c>
      <c r="N29" s="780"/>
      <c r="O29" s="308"/>
      <c r="Q29" s="303">
        <v>10</v>
      </c>
      <c r="R29" s="779"/>
      <c r="S29" s="779"/>
      <c r="T29" s="779"/>
      <c r="U29" s="779"/>
      <c r="V29" s="779"/>
      <c r="W29" s="779"/>
      <c r="X29" s="779"/>
      <c r="Y29" s="324"/>
      <c r="Z29" s="781"/>
      <c r="AA29" s="781"/>
      <c r="AB29" s="780" t="str">
        <f t="shared" si="4"/>
        <v/>
      </c>
      <c r="AC29" s="780"/>
      <c r="AD29" s="308"/>
      <c r="AF29" s="303">
        <v>10</v>
      </c>
      <c r="AG29" s="779"/>
      <c r="AH29" s="779"/>
      <c r="AI29" s="779"/>
      <c r="AJ29" s="779"/>
      <c r="AK29" s="779"/>
      <c r="AL29" s="779"/>
      <c r="AM29" s="779"/>
      <c r="AN29" s="324"/>
      <c r="AO29" s="781"/>
      <c r="AP29" s="781"/>
      <c r="AQ29" s="780" t="str">
        <f t="shared" si="5"/>
        <v/>
      </c>
      <c r="AR29" s="780"/>
      <c r="AS29" s="308"/>
      <c r="AT29"/>
      <c r="AU29"/>
      <c r="AV29"/>
      <c r="AW29"/>
    </row>
    <row r="30" spans="1:49" ht="15" customHeight="1">
      <c r="A30" s="112"/>
      <c r="B30" s="303">
        <v>11</v>
      </c>
      <c r="C30" s="777"/>
      <c r="D30" s="777"/>
      <c r="E30" s="777"/>
      <c r="F30" s="777"/>
      <c r="G30" s="777"/>
      <c r="H30" s="777"/>
      <c r="I30" s="777"/>
      <c r="J30" s="324"/>
      <c r="K30" s="781"/>
      <c r="L30" s="781"/>
      <c r="M30" s="780" t="str">
        <f t="shared" si="3"/>
        <v/>
      </c>
      <c r="N30" s="780"/>
      <c r="O30" s="308"/>
      <c r="Q30" s="303">
        <v>11</v>
      </c>
      <c r="R30" s="779"/>
      <c r="S30" s="779"/>
      <c r="T30" s="779"/>
      <c r="U30" s="779"/>
      <c r="V30" s="779"/>
      <c r="W30" s="779"/>
      <c r="X30" s="779"/>
      <c r="Y30" s="324"/>
      <c r="Z30" s="781"/>
      <c r="AA30" s="781"/>
      <c r="AB30" s="780" t="str">
        <f t="shared" si="4"/>
        <v/>
      </c>
      <c r="AC30" s="780"/>
      <c r="AD30" s="308"/>
      <c r="AF30" s="303">
        <v>11</v>
      </c>
      <c r="AG30" s="779"/>
      <c r="AH30" s="779"/>
      <c r="AI30" s="779"/>
      <c r="AJ30" s="779"/>
      <c r="AK30" s="779"/>
      <c r="AL30" s="779"/>
      <c r="AM30" s="779"/>
      <c r="AN30" s="324"/>
      <c r="AO30" s="781"/>
      <c r="AP30" s="781"/>
      <c r="AQ30" s="780" t="str">
        <f t="shared" si="5"/>
        <v/>
      </c>
      <c r="AR30" s="780"/>
      <c r="AS30" s="308"/>
      <c r="AT30"/>
      <c r="AU30"/>
      <c r="AV30"/>
      <c r="AW30"/>
    </row>
    <row r="31" spans="1:49" ht="15" customHeight="1">
      <c r="A31" s="112"/>
      <c r="B31" s="303">
        <v>12</v>
      </c>
      <c r="C31" s="777"/>
      <c r="D31" s="777"/>
      <c r="E31" s="777"/>
      <c r="F31" s="777"/>
      <c r="G31" s="777"/>
      <c r="H31" s="777"/>
      <c r="I31" s="777"/>
      <c r="J31" s="324"/>
      <c r="K31" s="781"/>
      <c r="L31" s="781"/>
      <c r="M31" s="780" t="str">
        <f t="shared" si="3"/>
        <v/>
      </c>
      <c r="N31" s="780"/>
      <c r="O31" s="308"/>
      <c r="Q31" s="303">
        <v>12</v>
      </c>
      <c r="R31" s="779"/>
      <c r="S31" s="779"/>
      <c r="T31" s="779"/>
      <c r="U31" s="779"/>
      <c r="V31" s="779"/>
      <c r="W31" s="779"/>
      <c r="X31" s="779"/>
      <c r="Y31" s="324"/>
      <c r="Z31" s="781"/>
      <c r="AA31" s="781"/>
      <c r="AB31" s="780" t="str">
        <f t="shared" si="4"/>
        <v/>
      </c>
      <c r="AC31" s="780"/>
      <c r="AD31" s="308"/>
      <c r="AF31" s="303">
        <v>12</v>
      </c>
      <c r="AG31" s="779"/>
      <c r="AH31" s="779"/>
      <c r="AI31" s="779"/>
      <c r="AJ31" s="779"/>
      <c r="AK31" s="779"/>
      <c r="AL31" s="779"/>
      <c r="AM31" s="779"/>
      <c r="AN31" s="324"/>
      <c r="AO31" s="781"/>
      <c r="AP31" s="781"/>
      <c r="AQ31" s="780" t="str">
        <f t="shared" si="5"/>
        <v/>
      </c>
      <c r="AR31" s="780"/>
      <c r="AS31" s="308"/>
      <c r="AT31"/>
      <c r="AU31"/>
      <c r="AV31"/>
      <c r="AW31"/>
    </row>
    <row r="32" spans="1:49" ht="15" customHeight="1">
      <c r="A32" s="112"/>
      <c r="B32" s="303">
        <v>13</v>
      </c>
      <c r="C32" s="777"/>
      <c r="D32" s="777"/>
      <c r="E32" s="777"/>
      <c r="F32" s="777"/>
      <c r="G32" s="777"/>
      <c r="H32" s="777"/>
      <c r="I32" s="777"/>
      <c r="J32" s="324"/>
      <c r="K32" s="781"/>
      <c r="L32" s="781"/>
      <c r="M32" s="780" t="str">
        <f t="shared" si="3"/>
        <v/>
      </c>
      <c r="N32" s="780"/>
      <c r="O32" s="308"/>
      <c r="Q32" s="303">
        <v>13</v>
      </c>
      <c r="R32" s="779"/>
      <c r="S32" s="779"/>
      <c r="T32" s="779"/>
      <c r="U32" s="779"/>
      <c r="V32" s="779"/>
      <c r="W32" s="779"/>
      <c r="X32" s="779"/>
      <c r="Y32" s="324"/>
      <c r="Z32" s="781"/>
      <c r="AA32" s="781"/>
      <c r="AB32" s="780" t="str">
        <f t="shared" si="4"/>
        <v/>
      </c>
      <c r="AC32" s="780"/>
      <c r="AD32" s="308"/>
      <c r="AF32" s="303">
        <v>13</v>
      </c>
      <c r="AG32" s="779"/>
      <c r="AH32" s="779"/>
      <c r="AI32" s="779"/>
      <c r="AJ32" s="779"/>
      <c r="AK32" s="779"/>
      <c r="AL32" s="779"/>
      <c r="AM32" s="779"/>
      <c r="AN32" s="324"/>
      <c r="AO32" s="781"/>
      <c r="AP32" s="781"/>
      <c r="AQ32" s="780" t="str">
        <f t="shared" si="5"/>
        <v/>
      </c>
      <c r="AR32" s="780"/>
      <c r="AS32" s="308"/>
      <c r="AT32"/>
      <c r="AU32"/>
      <c r="AV32"/>
      <c r="AW32"/>
    </row>
    <row r="33" spans="1:49" ht="15" customHeight="1">
      <c r="A33" s="112"/>
      <c r="B33" s="303">
        <v>14</v>
      </c>
      <c r="C33" s="777"/>
      <c r="D33" s="777"/>
      <c r="E33" s="777"/>
      <c r="F33" s="777"/>
      <c r="G33" s="777"/>
      <c r="H33" s="777"/>
      <c r="I33" s="777"/>
      <c r="J33" s="324"/>
      <c r="K33" s="781"/>
      <c r="L33" s="781"/>
      <c r="M33" s="780" t="str">
        <f t="shared" si="3"/>
        <v/>
      </c>
      <c r="N33" s="780"/>
      <c r="O33" s="308"/>
      <c r="Q33" s="303">
        <v>14</v>
      </c>
      <c r="R33" s="779"/>
      <c r="S33" s="779"/>
      <c r="T33" s="779"/>
      <c r="U33" s="779"/>
      <c r="V33" s="779"/>
      <c r="W33" s="779"/>
      <c r="X33" s="779"/>
      <c r="Y33" s="324"/>
      <c r="Z33" s="781"/>
      <c r="AA33" s="781"/>
      <c r="AB33" s="780" t="str">
        <f t="shared" si="4"/>
        <v/>
      </c>
      <c r="AC33" s="780"/>
      <c r="AD33" s="308"/>
      <c r="AF33" s="303">
        <v>14</v>
      </c>
      <c r="AG33" s="779"/>
      <c r="AH33" s="779"/>
      <c r="AI33" s="779"/>
      <c r="AJ33" s="779"/>
      <c r="AK33" s="779"/>
      <c r="AL33" s="779"/>
      <c r="AM33" s="779"/>
      <c r="AN33" s="324"/>
      <c r="AO33" s="781"/>
      <c r="AP33" s="781"/>
      <c r="AQ33" s="780" t="str">
        <f t="shared" si="5"/>
        <v/>
      </c>
      <c r="AR33" s="780"/>
      <c r="AS33" s="308"/>
      <c r="AT33"/>
      <c r="AU33"/>
      <c r="AV33"/>
      <c r="AW33"/>
    </row>
    <row r="34" spans="1:49" ht="15" customHeight="1">
      <c r="A34" s="112"/>
      <c r="B34" s="303">
        <v>15</v>
      </c>
      <c r="C34" s="777"/>
      <c r="D34" s="777"/>
      <c r="E34" s="777"/>
      <c r="F34" s="777"/>
      <c r="G34" s="777"/>
      <c r="H34" s="777"/>
      <c r="I34" s="777"/>
      <c r="J34" s="324"/>
      <c r="K34" s="781"/>
      <c r="L34" s="781"/>
      <c r="M34" s="780" t="str">
        <f t="shared" si="3"/>
        <v/>
      </c>
      <c r="N34" s="780"/>
      <c r="O34" s="308"/>
      <c r="Q34" s="303">
        <v>15</v>
      </c>
      <c r="R34" s="779"/>
      <c r="S34" s="779"/>
      <c r="T34" s="779"/>
      <c r="U34" s="779"/>
      <c r="V34" s="779"/>
      <c r="W34" s="779"/>
      <c r="X34" s="779"/>
      <c r="Y34" s="324"/>
      <c r="Z34" s="781"/>
      <c r="AA34" s="781"/>
      <c r="AB34" s="780" t="str">
        <f t="shared" si="4"/>
        <v/>
      </c>
      <c r="AC34" s="780"/>
      <c r="AD34" s="308"/>
      <c r="AF34" s="303">
        <v>15</v>
      </c>
      <c r="AG34" s="779"/>
      <c r="AH34" s="779"/>
      <c r="AI34" s="779"/>
      <c r="AJ34" s="779"/>
      <c r="AK34" s="779"/>
      <c r="AL34" s="779"/>
      <c r="AM34" s="779"/>
      <c r="AN34" s="324"/>
      <c r="AO34" s="781"/>
      <c r="AP34" s="781"/>
      <c r="AQ34" s="780" t="str">
        <f t="shared" si="5"/>
        <v/>
      </c>
      <c r="AR34" s="780"/>
      <c r="AS34" s="308"/>
      <c r="AT34"/>
      <c r="AU34"/>
      <c r="AV34"/>
      <c r="AW34"/>
    </row>
    <row r="35" spans="1:49" ht="15" customHeight="1">
      <c r="A35" s="112"/>
      <c r="B35" s="303">
        <v>16</v>
      </c>
      <c r="C35" s="777"/>
      <c r="D35" s="777"/>
      <c r="E35" s="777"/>
      <c r="F35" s="777"/>
      <c r="G35" s="777"/>
      <c r="H35" s="777"/>
      <c r="I35" s="777"/>
      <c r="J35" s="324"/>
      <c r="K35" s="781"/>
      <c r="L35" s="781"/>
      <c r="M35" s="780" t="str">
        <f t="shared" si="3"/>
        <v/>
      </c>
      <c r="N35" s="780"/>
      <c r="O35" s="308"/>
      <c r="Q35" s="303">
        <v>16</v>
      </c>
      <c r="R35" s="779"/>
      <c r="S35" s="779"/>
      <c r="T35" s="779"/>
      <c r="U35" s="779"/>
      <c r="V35" s="779"/>
      <c r="W35" s="779"/>
      <c r="X35" s="779"/>
      <c r="Y35" s="324"/>
      <c r="Z35" s="781"/>
      <c r="AA35" s="781"/>
      <c r="AB35" s="780" t="str">
        <f t="shared" si="4"/>
        <v/>
      </c>
      <c r="AC35" s="780"/>
      <c r="AD35" s="308"/>
      <c r="AF35" s="303">
        <v>16</v>
      </c>
      <c r="AG35" s="779"/>
      <c r="AH35" s="779"/>
      <c r="AI35" s="779"/>
      <c r="AJ35" s="779"/>
      <c r="AK35" s="779"/>
      <c r="AL35" s="779"/>
      <c r="AM35" s="779"/>
      <c r="AN35" s="324"/>
      <c r="AO35" s="781"/>
      <c r="AP35" s="781"/>
      <c r="AQ35" s="780" t="str">
        <f t="shared" si="5"/>
        <v/>
      </c>
      <c r="AR35" s="780"/>
      <c r="AS35" s="308"/>
      <c r="AT35"/>
      <c r="AU35"/>
      <c r="AV35"/>
      <c r="AW35"/>
    </row>
    <row r="36" spans="1:49" ht="15" customHeight="1">
      <c r="A36" s="112"/>
      <c r="B36" s="303">
        <v>17</v>
      </c>
      <c r="C36" s="777"/>
      <c r="D36" s="777"/>
      <c r="E36" s="777"/>
      <c r="F36" s="777"/>
      <c r="G36" s="777"/>
      <c r="H36" s="777"/>
      <c r="I36" s="777"/>
      <c r="J36" s="324"/>
      <c r="K36" s="781"/>
      <c r="L36" s="781"/>
      <c r="M36" s="780" t="str">
        <f t="shared" si="3"/>
        <v/>
      </c>
      <c r="N36" s="780"/>
      <c r="O36" s="308"/>
      <c r="Q36" s="303">
        <v>17</v>
      </c>
      <c r="R36" s="779"/>
      <c r="S36" s="779"/>
      <c r="T36" s="779"/>
      <c r="U36" s="779"/>
      <c r="V36" s="779"/>
      <c r="W36" s="779"/>
      <c r="X36" s="779"/>
      <c r="Y36" s="324"/>
      <c r="Z36" s="781"/>
      <c r="AA36" s="781"/>
      <c r="AB36" s="780" t="str">
        <f t="shared" si="4"/>
        <v/>
      </c>
      <c r="AC36" s="780"/>
      <c r="AD36" s="308"/>
      <c r="AF36" s="303">
        <v>17</v>
      </c>
      <c r="AG36" s="779"/>
      <c r="AH36" s="779"/>
      <c r="AI36" s="779"/>
      <c r="AJ36" s="779"/>
      <c r="AK36" s="779"/>
      <c r="AL36" s="779"/>
      <c r="AM36" s="779"/>
      <c r="AN36" s="324"/>
      <c r="AO36" s="781"/>
      <c r="AP36" s="781"/>
      <c r="AQ36" s="780" t="str">
        <f t="shared" si="5"/>
        <v/>
      </c>
      <c r="AR36" s="780"/>
      <c r="AS36" s="308"/>
      <c r="AT36"/>
      <c r="AU36"/>
      <c r="AV36"/>
      <c r="AW36"/>
    </row>
    <row r="37" spans="1:49" ht="15" customHeight="1">
      <c r="A37" s="112"/>
      <c r="B37" s="303">
        <v>18</v>
      </c>
      <c r="C37" s="777"/>
      <c r="D37" s="777"/>
      <c r="E37" s="777"/>
      <c r="F37" s="777"/>
      <c r="G37" s="777"/>
      <c r="H37" s="777"/>
      <c r="I37" s="777"/>
      <c r="J37" s="324"/>
      <c r="K37" s="781"/>
      <c r="L37" s="781"/>
      <c r="M37" s="780" t="str">
        <f t="shared" si="3"/>
        <v/>
      </c>
      <c r="N37" s="780"/>
      <c r="O37" s="308"/>
      <c r="Q37" s="303">
        <v>18</v>
      </c>
      <c r="R37" s="779"/>
      <c r="S37" s="779"/>
      <c r="T37" s="779"/>
      <c r="U37" s="779"/>
      <c r="V37" s="779"/>
      <c r="W37" s="779"/>
      <c r="X37" s="779"/>
      <c r="Y37" s="324"/>
      <c r="Z37" s="781"/>
      <c r="AA37" s="781"/>
      <c r="AB37" s="780" t="str">
        <f t="shared" si="4"/>
        <v/>
      </c>
      <c r="AC37" s="780"/>
      <c r="AD37" s="308"/>
      <c r="AF37" s="303">
        <v>18</v>
      </c>
      <c r="AG37" s="779"/>
      <c r="AH37" s="779"/>
      <c r="AI37" s="779"/>
      <c r="AJ37" s="779"/>
      <c r="AK37" s="779"/>
      <c r="AL37" s="779"/>
      <c r="AM37" s="779"/>
      <c r="AN37" s="324"/>
      <c r="AO37" s="781"/>
      <c r="AP37" s="781"/>
      <c r="AQ37" s="780" t="str">
        <f t="shared" si="5"/>
        <v/>
      </c>
      <c r="AR37" s="780"/>
      <c r="AS37" s="308"/>
      <c r="AT37"/>
      <c r="AU37"/>
      <c r="AV37"/>
      <c r="AW37"/>
    </row>
    <row r="38" spans="1:49" ht="15" customHeight="1">
      <c r="A38" s="112"/>
      <c r="B38" s="303">
        <v>19</v>
      </c>
      <c r="C38" s="777"/>
      <c r="D38" s="777"/>
      <c r="E38" s="777"/>
      <c r="F38" s="777"/>
      <c r="G38" s="777"/>
      <c r="H38" s="777"/>
      <c r="I38" s="777"/>
      <c r="J38" s="324"/>
      <c r="K38" s="781"/>
      <c r="L38" s="781"/>
      <c r="M38" s="780" t="str">
        <f t="shared" si="3"/>
        <v/>
      </c>
      <c r="N38" s="780"/>
      <c r="O38" s="308"/>
      <c r="Q38" s="303">
        <v>19</v>
      </c>
      <c r="R38" s="779"/>
      <c r="S38" s="779"/>
      <c r="T38" s="779"/>
      <c r="U38" s="779"/>
      <c r="V38" s="779"/>
      <c r="W38" s="779"/>
      <c r="X38" s="779"/>
      <c r="Y38" s="324"/>
      <c r="Z38" s="781"/>
      <c r="AA38" s="781"/>
      <c r="AB38" s="780" t="str">
        <f t="shared" si="4"/>
        <v/>
      </c>
      <c r="AC38" s="780"/>
      <c r="AD38" s="308"/>
      <c r="AF38" s="303">
        <v>19</v>
      </c>
      <c r="AG38" s="779"/>
      <c r="AH38" s="779"/>
      <c r="AI38" s="779"/>
      <c r="AJ38" s="779"/>
      <c r="AK38" s="779"/>
      <c r="AL38" s="779"/>
      <c r="AM38" s="779"/>
      <c r="AN38" s="324"/>
      <c r="AO38" s="781"/>
      <c r="AP38" s="781"/>
      <c r="AQ38" s="780" t="str">
        <f t="shared" si="5"/>
        <v/>
      </c>
      <c r="AR38" s="780"/>
      <c r="AS38" s="308"/>
      <c r="AT38"/>
      <c r="AU38"/>
      <c r="AV38"/>
      <c r="AW38"/>
    </row>
    <row r="39" spans="1:49" ht="15" customHeight="1">
      <c r="A39" s="112"/>
      <c r="B39" s="303">
        <v>20</v>
      </c>
      <c r="C39" s="777"/>
      <c r="D39" s="777"/>
      <c r="E39" s="777"/>
      <c r="F39" s="777"/>
      <c r="G39" s="777"/>
      <c r="H39" s="777"/>
      <c r="I39" s="777"/>
      <c r="J39" s="324"/>
      <c r="K39" s="781"/>
      <c r="L39" s="781"/>
      <c r="M39" s="780" t="str">
        <f t="shared" si="3"/>
        <v/>
      </c>
      <c r="N39" s="780"/>
      <c r="O39" s="308"/>
      <c r="Q39" s="303">
        <v>20</v>
      </c>
      <c r="R39" s="779"/>
      <c r="S39" s="779"/>
      <c r="T39" s="779"/>
      <c r="U39" s="779"/>
      <c r="V39" s="779"/>
      <c r="W39" s="779"/>
      <c r="X39" s="779"/>
      <c r="Y39" s="324"/>
      <c r="Z39" s="781"/>
      <c r="AA39" s="781"/>
      <c r="AB39" s="780" t="str">
        <f t="shared" si="4"/>
        <v/>
      </c>
      <c r="AC39" s="780"/>
      <c r="AD39" s="308"/>
      <c r="AF39" s="303">
        <v>20</v>
      </c>
      <c r="AG39" s="779"/>
      <c r="AH39" s="779"/>
      <c r="AI39" s="779"/>
      <c r="AJ39" s="779"/>
      <c r="AK39" s="779"/>
      <c r="AL39" s="779"/>
      <c r="AM39" s="779"/>
      <c r="AN39" s="324"/>
      <c r="AO39" s="781"/>
      <c r="AP39" s="781"/>
      <c r="AQ39" s="780" t="str">
        <f t="shared" si="5"/>
        <v/>
      </c>
      <c r="AR39" s="780"/>
      <c r="AS39" s="308"/>
      <c r="AT39"/>
      <c r="AU39"/>
      <c r="AV39"/>
      <c r="AW39"/>
    </row>
    <row r="40" spans="1:49" ht="15" customHeight="1">
      <c r="A40" s="112"/>
      <c r="B40" s="303">
        <v>21</v>
      </c>
      <c r="C40" s="777"/>
      <c r="D40" s="777"/>
      <c r="E40" s="777"/>
      <c r="F40" s="777"/>
      <c r="G40" s="777"/>
      <c r="H40" s="777"/>
      <c r="I40" s="777"/>
      <c r="J40" s="324"/>
      <c r="K40" s="781"/>
      <c r="L40" s="781"/>
      <c r="M40" s="780" t="str">
        <f t="shared" si="3"/>
        <v/>
      </c>
      <c r="N40" s="780"/>
      <c r="O40" s="308"/>
      <c r="Q40" s="303">
        <v>21</v>
      </c>
      <c r="R40" s="779"/>
      <c r="S40" s="779"/>
      <c r="T40" s="779"/>
      <c r="U40" s="779"/>
      <c r="V40" s="779"/>
      <c r="W40" s="779"/>
      <c r="X40" s="779"/>
      <c r="Y40" s="324"/>
      <c r="Z40" s="781"/>
      <c r="AA40" s="781"/>
      <c r="AB40" s="780" t="str">
        <f t="shared" si="4"/>
        <v/>
      </c>
      <c r="AC40" s="780"/>
      <c r="AD40" s="308"/>
      <c r="AF40" s="303">
        <v>21</v>
      </c>
      <c r="AG40" s="779"/>
      <c r="AH40" s="779"/>
      <c r="AI40" s="779"/>
      <c r="AJ40" s="779"/>
      <c r="AK40" s="779"/>
      <c r="AL40" s="779"/>
      <c r="AM40" s="779"/>
      <c r="AN40" s="324"/>
      <c r="AO40" s="781"/>
      <c r="AP40" s="781"/>
      <c r="AQ40" s="780" t="str">
        <f t="shared" si="5"/>
        <v/>
      </c>
      <c r="AR40" s="780"/>
      <c r="AS40" s="308"/>
      <c r="AT40"/>
      <c r="AU40"/>
      <c r="AV40"/>
      <c r="AW40"/>
    </row>
    <row r="41" spans="1:49" ht="15" customHeight="1">
      <c r="A41" s="112"/>
      <c r="B41" s="303">
        <v>22</v>
      </c>
      <c r="C41" s="777"/>
      <c r="D41" s="777"/>
      <c r="E41" s="777"/>
      <c r="F41" s="777"/>
      <c r="G41" s="777"/>
      <c r="H41" s="777"/>
      <c r="I41" s="777"/>
      <c r="J41" s="324"/>
      <c r="K41" s="781"/>
      <c r="L41" s="781"/>
      <c r="M41" s="780" t="str">
        <f t="shared" si="3"/>
        <v/>
      </c>
      <c r="N41" s="780"/>
      <c r="O41" s="308"/>
      <c r="Q41" s="303">
        <v>22</v>
      </c>
      <c r="R41" s="779"/>
      <c r="S41" s="779"/>
      <c r="T41" s="779"/>
      <c r="U41" s="779"/>
      <c r="V41" s="779"/>
      <c r="W41" s="779"/>
      <c r="X41" s="779"/>
      <c r="Y41" s="324"/>
      <c r="Z41" s="781"/>
      <c r="AA41" s="781"/>
      <c r="AB41" s="780" t="str">
        <f t="shared" si="4"/>
        <v/>
      </c>
      <c r="AC41" s="780"/>
      <c r="AD41" s="308"/>
      <c r="AF41" s="303">
        <v>22</v>
      </c>
      <c r="AG41" s="779"/>
      <c r="AH41" s="779"/>
      <c r="AI41" s="779"/>
      <c r="AJ41" s="779"/>
      <c r="AK41" s="779"/>
      <c r="AL41" s="779"/>
      <c r="AM41" s="779"/>
      <c r="AN41" s="324"/>
      <c r="AO41" s="781"/>
      <c r="AP41" s="781"/>
      <c r="AQ41" s="780" t="str">
        <f t="shared" si="5"/>
        <v/>
      </c>
      <c r="AR41" s="780"/>
      <c r="AS41" s="308"/>
      <c r="AT41"/>
      <c r="AU41"/>
      <c r="AV41"/>
      <c r="AW41"/>
    </row>
    <row r="42" spans="1:49" ht="15" customHeight="1">
      <c r="A42" s="112"/>
      <c r="B42" s="303">
        <v>23</v>
      </c>
      <c r="C42" s="777"/>
      <c r="D42" s="777"/>
      <c r="E42" s="777"/>
      <c r="F42" s="777"/>
      <c r="G42" s="777"/>
      <c r="H42" s="777"/>
      <c r="I42" s="777"/>
      <c r="J42" s="324"/>
      <c r="K42" s="781"/>
      <c r="L42" s="781"/>
      <c r="M42" s="780" t="str">
        <f t="shared" si="3"/>
        <v/>
      </c>
      <c r="N42" s="780"/>
      <c r="O42" s="308"/>
      <c r="Q42" s="303">
        <v>23</v>
      </c>
      <c r="R42" s="779"/>
      <c r="S42" s="779"/>
      <c r="T42" s="779"/>
      <c r="U42" s="779"/>
      <c r="V42" s="779"/>
      <c r="W42" s="779"/>
      <c r="X42" s="779"/>
      <c r="Y42" s="324"/>
      <c r="Z42" s="781"/>
      <c r="AA42" s="781"/>
      <c r="AB42" s="780" t="str">
        <f t="shared" si="4"/>
        <v/>
      </c>
      <c r="AC42" s="780"/>
      <c r="AD42" s="308"/>
      <c r="AF42" s="303">
        <v>23</v>
      </c>
      <c r="AG42" s="779"/>
      <c r="AH42" s="779"/>
      <c r="AI42" s="779"/>
      <c r="AJ42" s="779"/>
      <c r="AK42" s="779"/>
      <c r="AL42" s="779"/>
      <c r="AM42" s="779"/>
      <c r="AN42" s="324"/>
      <c r="AO42" s="781"/>
      <c r="AP42" s="781"/>
      <c r="AQ42" s="780" t="str">
        <f t="shared" si="5"/>
        <v/>
      </c>
      <c r="AR42" s="780"/>
      <c r="AS42" s="308"/>
      <c r="AT42"/>
      <c r="AU42"/>
      <c r="AV42"/>
      <c r="AW42"/>
    </row>
    <row r="43" spans="1:49" ht="15" customHeight="1">
      <c r="A43" s="112"/>
      <c r="B43" s="303">
        <v>24</v>
      </c>
      <c r="C43" s="777"/>
      <c r="D43" s="777"/>
      <c r="E43" s="777"/>
      <c r="F43" s="777"/>
      <c r="G43" s="777"/>
      <c r="H43" s="777"/>
      <c r="I43" s="777"/>
      <c r="J43" s="324"/>
      <c r="K43" s="781"/>
      <c r="L43" s="781"/>
      <c r="M43" s="780" t="str">
        <f t="shared" si="3"/>
        <v/>
      </c>
      <c r="N43" s="780"/>
      <c r="O43" s="308"/>
      <c r="Q43" s="303">
        <v>24</v>
      </c>
      <c r="R43" s="779"/>
      <c r="S43" s="779"/>
      <c r="T43" s="779"/>
      <c r="U43" s="779"/>
      <c r="V43" s="779"/>
      <c r="W43" s="779"/>
      <c r="X43" s="779"/>
      <c r="Y43" s="324"/>
      <c r="Z43" s="781"/>
      <c r="AA43" s="781"/>
      <c r="AB43" s="780" t="str">
        <f t="shared" si="4"/>
        <v/>
      </c>
      <c r="AC43" s="780"/>
      <c r="AD43" s="308"/>
      <c r="AF43" s="303">
        <v>24</v>
      </c>
      <c r="AG43" s="779"/>
      <c r="AH43" s="779"/>
      <c r="AI43" s="779"/>
      <c r="AJ43" s="779"/>
      <c r="AK43" s="779"/>
      <c r="AL43" s="779"/>
      <c r="AM43" s="779"/>
      <c r="AN43" s="324"/>
      <c r="AO43" s="781"/>
      <c r="AP43" s="781"/>
      <c r="AQ43" s="780" t="str">
        <f t="shared" si="5"/>
        <v/>
      </c>
      <c r="AR43" s="780"/>
      <c r="AS43" s="308"/>
      <c r="AT43"/>
      <c r="AU43"/>
      <c r="AV43"/>
      <c r="AW43"/>
    </row>
    <row r="44" spans="1:49" ht="15" customHeight="1">
      <c r="A44" s="112"/>
      <c r="B44" s="303">
        <v>25</v>
      </c>
      <c r="C44" s="777"/>
      <c r="D44" s="777"/>
      <c r="E44" s="777"/>
      <c r="F44" s="777"/>
      <c r="G44" s="777"/>
      <c r="H44" s="777"/>
      <c r="I44" s="777"/>
      <c r="J44" s="324"/>
      <c r="K44" s="781"/>
      <c r="L44" s="781"/>
      <c r="M44" s="780" t="str">
        <f t="shared" si="3"/>
        <v/>
      </c>
      <c r="N44" s="780"/>
      <c r="O44" s="308"/>
      <c r="Q44" s="303">
        <v>25</v>
      </c>
      <c r="R44" s="779"/>
      <c r="S44" s="779"/>
      <c r="T44" s="779"/>
      <c r="U44" s="779"/>
      <c r="V44" s="779"/>
      <c r="W44" s="779"/>
      <c r="X44" s="779"/>
      <c r="Y44" s="324"/>
      <c r="Z44" s="781"/>
      <c r="AA44" s="781"/>
      <c r="AB44" s="780" t="str">
        <f t="shared" si="4"/>
        <v/>
      </c>
      <c r="AC44" s="780"/>
      <c r="AD44" s="308"/>
      <c r="AF44" s="303">
        <v>25</v>
      </c>
      <c r="AG44" s="779"/>
      <c r="AH44" s="779"/>
      <c r="AI44" s="779"/>
      <c r="AJ44" s="779"/>
      <c r="AK44" s="779"/>
      <c r="AL44" s="779"/>
      <c r="AM44" s="779"/>
      <c r="AN44" s="324"/>
      <c r="AO44" s="781"/>
      <c r="AP44" s="781"/>
      <c r="AQ44" s="780" t="str">
        <f t="shared" si="5"/>
        <v/>
      </c>
      <c r="AR44" s="780"/>
      <c r="AS44" s="308"/>
      <c r="AT44"/>
      <c r="AU44"/>
      <c r="AV44"/>
      <c r="AW44"/>
    </row>
    <row r="45" spans="1:49" ht="15" customHeight="1">
      <c r="A45" s="112"/>
      <c r="B45" s="303">
        <v>26</v>
      </c>
      <c r="C45" s="777"/>
      <c r="D45" s="777"/>
      <c r="E45" s="777"/>
      <c r="F45" s="777"/>
      <c r="G45" s="777"/>
      <c r="H45" s="777"/>
      <c r="I45" s="777"/>
      <c r="J45" s="324"/>
      <c r="K45" s="781"/>
      <c r="L45" s="781"/>
      <c r="M45" s="780" t="str">
        <f t="shared" si="3"/>
        <v/>
      </c>
      <c r="N45" s="780"/>
      <c r="O45" s="308"/>
      <c r="Q45" s="303">
        <v>26</v>
      </c>
      <c r="R45" s="779"/>
      <c r="S45" s="779"/>
      <c r="T45" s="779"/>
      <c r="U45" s="779"/>
      <c r="V45" s="779"/>
      <c r="W45" s="779"/>
      <c r="X45" s="779"/>
      <c r="Y45" s="324"/>
      <c r="Z45" s="781"/>
      <c r="AA45" s="781"/>
      <c r="AB45" s="780" t="str">
        <f t="shared" si="4"/>
        <v/>
      </c>
      <c r="AC45" s="780"/>
      <c r="AD45" s="308"/>
      <c r="AF45" s="303">
        <v>26</v>
      </c>
      <c r="AG45" s="779"/>
      <c r="AH45" s="779"/>
      <c r="AI45" s="779"/>
      <c r="AJ45" s="779"/>
      <c r="AK45" s="779"/>
      <c r="AL45" s="779"/>
      <c r="AM45" s="779"/>
      <c r="AN45" s="324"/>
      <c r="AO45" s="781"/>
      <c r="AP45" s="781"/>
      <c r="AQ45" s="780" t="str">
        <f t="shared" si="5"/>
        <v/>
      </c>
      <c r="AR45" s="780"/>
      <c r="AS45" s="308"/>
      <c r="AT45"/>
      <c r="AU45"/>
      <c r="AV45"/>
      <c r="AW45"/>
    </row>
    <row r="46" spans="1:49" ht="15" customHeight="1">
      <c r="A46" s="112"/>
      <c r="B46" s="303">
        <v>27</v>
      </c>
      <c r="C46" s="777"/>
      <c r="D46" s="777"/>
      <c r="E46" s="777"/>
      <c r="F46" s="777"/>
      <c r="G46" s="777"/>
      <c r="H46" s="777"/>
      <c r="I46" s="777"/>
      <c r="J46" s="324"/>
      <c r="K46" s="781"/>
      <c r="L46" s="781"/>
      <c r="M46" s="780" t="str">
        <f t="shared" si="3"/>
        <v/>
      </c>
      <c r="N46" s="780"/>
      <c r="O46" s="308"/>
      <c r="Q46" s="303">
        <v>27</v>
      </c>
      <c r="R46" s="779"/>
      <c r="S46" s="779"/>
      <c r="T46" s="779"/>
      <c r="U46" s="779"/>
      <c r="V46" s="779"/>
      <c r="W46" s="779"/>
      <c r="X46" s="779"/>
      <c r="Y46" s="324"/>
      <c r="Z46" s="781"/>
      <c r="AA46" s="781"/>
      <c r="AB46" s="780" t="str">
        <f t="shared" si="4"/>
        <v/>
      </c>
      <c r="AC46" s="780"/>
      <c r="AD46" s="308"/>
      <c r="AF46" s="303">
        <v>27</v>
      </c>
      <c r="AG46" s="779"/>
      <c r="AH46" s="779"/>
      <c r="AI46" s="779"/>
      <c r="AJ46" s="779"/>
      <c r="AK46" s="779"/>
      <c r="AL46" s="779"/>
      <c r="AM46" s="779"/>
      <c r="AN46" s="324"/>
      <c r="AO46" s="781"/>
      <c r="AP46" s="781"/>
      <c r="AQ46" s="780" t="str">
        <f t="shared" si="5"/>
        <v/>
      </c>
      <c r="AR46" s="780"/>
      <c r="AS46" s="308"/>
      <c r="AT46"/>
      <c r="AU46"/>
      <c r="AV46"/>
      <c r="AW46"/>
    </row>
    <row r="47" spans="1:49" ht="15" customHeight="1">
      <c r="A47" s="112"/>
      <c r="B47" s="303">
        <v>28</v>
      </c>
      <c r="C47" s="777"/>
      <c r="D47" s="777"/>
      <c r="E47" s="777"/>
      <c r="F47" s="777"/>
      <c r="G47" s="777"/>
      <c r="H47" s="777"/>
      <c r="I47" s="777"/>
      <c r="J47" s="324"/>
      <c r="K47" s="781"/>
      <c r="L47" s="781"/>
      <c r="M47" s="780" t="str">
        <f t="shared" si="3"/>
        <v/>
      </c>
      <c r="N47" s="780"/>
      <c r="O47" s="308"/>
      <c r="Q47" s="303">
        <v>28</v>
      </c>
      <c r="R47" s="779"/>
      <c r="S47" s="779"/>
      <c r="T47" s="779"/>
      <c r="U47" s="779"/>
      <c r="V47" s="779"/>
      <c r="W47" s="779"/>
      <c r="X47" s="779"/>
      <c r="Y47" s="324"/>
      <c r="Z47" s="781"/>
      <c r="AA47" s="781"/>
      <c r="AB47" s="780" t="str">
        <f t="shared" si="4"/>
        <v/>
      </c>
      <c r="AC47" s="780"/>
      <c r="AD47" s="308"/>
      <c r="AF47" s="303">
        <v>28</v>
      </c>
      <c r="AG47" s="779"/>
      <c r="AH47" s="779"/>
      <c r="AI47" s="779"/>
      <c r="AJ47" s="779"/>
      <c r="AK47" s="779"/>
      <c r="AL47" s="779"/>
      <c r="AM47" s="779"/>
      <c r="AN47" s="324"/>
      <c r="AO47" s="781"/>
      <c r="AP47" s="781"/>
      <c r="AQ47" s="780" t="str">
        <f t="shared" si="5"/>
        <v/>
      </c>
      <c r="AR47" s="780"/>
      <c r="AS47" s="308"/>
      <c r="AT47"/>
      <c r="AU47"/>
      <c r="AV47"/>
      <c r="AW47"/>
    </row>
    <row r="48" spans="1:49" ht="15" customHeight="1">
      <c r="A48" s="112"/>
      <c r="B48" s="303">
        <v>29</v>
      </c>
      <c r="C48" s="777"/>
      <c r="D48" s="777"/>
      <c r="E48" s="777"/>
      <c r="F48" s="777"/>
      <c r="G48" s="777"/>
      <c r="H48" s="777"/>
      <c r="I48" s="777"/>
      <c r="J48" s="324"/>
      <c r="K48" s="781"/>
      <c r="L48" s="781"/>
      <c r="M48" s="780" t="str">
        <f t="shared" si="3"/>
        <v/>
      </c>
      <c r="N48" s="780"/>
      <c r="O48" s="308"/>
      <c r="Q48" s="303">
        <v>29</v>
      </c>
      <c r="R48" s="779"/>
      <c r="S48" s="779"/>
      <c r="T48" s="779"/>
      <c r="U48" s="779"/>
      <c r="V48" s="779"/>
      <c r="W48" s="779"/>
      <c r="X48" s="779"/>
      <c r="Y48" s="324"/>
      <c r="Z48" s="781"/>
      <c r="AA48" s="781"/>
      <c r="AB48" s="780" t="str">
        <f t="shared" si="4"/>
        <v/>
      </c>
      <c r="AC48" s="780"/>
      <c r="AD48" s="308"/>
      <c r="AF48" s="303">
        <v>29</v>
      </c>
      <c r="AG48" s="779"/>
      <c r="AH48" s="779"/>
      <c r="AI48" s="779"/>
      <c r="AJ48" s="779"/>
      <c r="AK48" s="779"/>
      <c r="AL48" s="779"/>
      <c r="AM48" s="779"/>
      <c r="AN48" s="324"/>
      <c r="AO48" s="781"/>
      <c r="AP48" s="781"/>
      <c r="AQ48" s="780" t="str">
        <f t="shared" si="5"/>
        <v/>
      </c>
      <c r="AR48" s="780"/>
      <c r="AS48" s="308"/>
      <c r="AT48"/>
      <c r="AU48"/>
      <c r="AV48"/>
      <c r="AW48"/>
    </row>
    <row r="49" spans="1:49" ht="15">
      <c r="A49" s="112"/>
      <c r="B49" s="303">
        <v>30</v>
      </c>
      <c r="C49" s="777"/>
      <c r="D49" s="777"/>
      <c r="E49" s="777"/>
      <c r="F49" s="777"/>
      <c r="G49" s="777"/>
      <c r="H49" s="777"/>
      <c r="I49" s="777"/>
      <c r="J49" s="324"/>
      <c r="K49" s="781"/>
      <c r="L49" s="781"/>
      <c r="M49" s="780" t="str">
        <f t="shared" si="3"/>
        <v/>
      </c>
      <c r="N49" s="780"/>
      <c r="O49" s="308"/>
      <c r="Q49" s="303">
        <v>30</v>
      </c>
      <c r="R49" s="779"/>
      <c r="S49" s="779"/>
      <c r="T49" s="779"/>
      <c r="U49" s="779"/>
      <c r="V49" s="779"/>
      <c r="W49" s="779"/>
      <c r="X49" s="779"/>
      <c r="Y49" s="324"/>
      <c r="Z49" s="781"/>
      <c r="AA49" s="781"/>
      <c r="AB49" s="780" t="str">
        <f t="shared" si="4"/>
        <v/>
      </c>
      <c r="AC49" s="780"/>
      <c r="AD49" s="308"/>
      <c r="AF49" s="303">
        <v>30</v>
      </c>
      <c r="AG49" s="779"/>
      <c r="AH49" s="779"/>
      <c r="AI49" s="779"/>
      <c r="AJ49" s="779"/>
      <c r="AK49" s="779"/>
      <c r="AL49" s="779"/>
      <c r="AM49" s="779"/>
      <c r="AN49" s="324"/>
      <c r="AO49" s="781"/>
      <c r="AP49" s="781"/>
      <c r="AQ49" s="780" t="str">
        <f t="shared" si="5"/>
        <v/>
      </c>
      <c r="AR49" s="780"/>
      <c r="AS49" s="308"/>
      <c r="AT49"/>
      <c r="AU49"/>
      <c r="AV49"/>
      <c r="AW49"/>
    </row>
    <row r="50" spans="1:49" ht="15">
      <c r="A50" s="112"/>
      <c r="B50" s="303"/>
      <c r="C50" s="309"/>
      <c r="D50" s="309"/>
      <c r="E50" s="309"/>
      <c r="F50" s="309"/>
      <c r="G50" s="309"/>
      <c r="H50" s="309"/>
      <c r="I50" s="309"/>
      <c r="J50" s="309"/>
      <c r="K50" s="309"/>
      <c r="L50" s="323" t="s">
        <v>944</v>
      </c>
      <c r="M50" s="780">
        <f>SUM(M20:M49)</f>
        <v>0</v>
      </c>
      <c r="N50" s="780"/>
      <c r="O50" s="308"/>
      <c r="Q50" s="303"/>
      <c r="R50" s="309"/>
      <c r="S50" s="309"/>
      <c r="T50" s="309"/>
      <c r="U50" s="309"/>
      <c r="V50" s="309"/>
      <c r="W50" s="309"/>
      <c r="X50" s="309"/>
      <c r="Y50" s="309"/>
      <c r="Z50" s="309"/>
      <c r="AA50" s="323" t="s">
        <v>944</v>
      </c>
      <c r="AB50" s="780">
        <f>SUM(AB20:AB49)</f>
        <v>0</v>
      </c>
      <c r="AC50" s="780"/>
      <c r="AD50" s="308"/>
      <c r="AF50" s="303"/>
      <c r="AG50" s="309"/>
      <c r="AH50" s="309"/>
      <c r="AI50" s="309"/>
      <c r="AJ50" s="309"/>
      <c r="AK50" s="309"/>
      <c r="AL50" s="309"/>
      <c r="AM50" s="309"/>
      <c r="AN50" s="309"/>
      <c r="AO50" s="309"/>
      <c r="AP50" s="323" t="s">
        <v>944</v>
      </c>
      <c r="AQ50" s="780">
        <f>SUM(AQ20:AQ49)</f>
        <v>0</v>
      </c>
      <c r="AR50" s="780"/>
      <c r="AS50" s="308"/>
      <c r="AT50"/>
      <c r="AU50"/>
      <c r="AV50"/>
      <c r="AW50"/>
    </row>
    <row r="51" spans="1:49" ht="15">
      <c r="A51" s="112"/>
      <c r="B51" s="310"/>
      <c r="C51" s="307"/>
      <c r="D51" s="307"/>
      <c r="E51" s="307"/>
      <c r="F51" s="307"/>
      <c r="G51" s="307"/>
      <c r="H51" s="307"/>
      <c r="I51" s="307"/>
      <c r="J51" s="307"/>
      <c r="K51" s="307"/>
      <c r="L51" s="307"/>
      <c r="M51" s="307"/>
      <c r="N51" s="307"/>
      <c r="O51" s="312"/>
      <c r="Q51" s="310"/>
      <c r="R51" s="307"/>
      <c r="S51" s="307"/>
      <c r="T51" s="307"/>
      <c r="U51" s="307"/>
      <c r="V51" s="307"/>
      <c r="W51" s="307"/>
      <c r="X51" s="307"/>
      <c r="Y51" s="307"/>
      <c r="Z51" s="307"/>
      <c r="AA51" s="307"/>
      <c r="AB51" s="307"/>
      <c r="AC51" s="307"/>
      <c r="AD51" s="312"/>
      <c r="AF51" s="310"/>
      <c r="AG51" s="307"/>
      <c r="AH51" s="307"/>
      <c r="AI51" s="307"/>
      <c r="AJ51" s="307"/>
      <c r="AK51" s="307"/>
      <c r="AL51" s="307"/>
      <c r="AM51" s="307"/>
      <c r="AN51" s="307"/>
      <c r="AO51" s="307"/>
      <c r="AP51" s="307"/>
      <c r="AQ51" s="307"/>
      <c r="AR51" s="307"/>
      <c r="AS51" s="312"/>
      <c r="AT51"/>
      <c r="AU51"/>
      <c r="AV51"/>
      <c r="AW51"/>
    </row>
    <row r="52" spans="1:49" s="112" customFormat="1" ht="1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row>
    <row r="53" spans="1:49" s="112" customFormat="1" ht="15">
      <c r="B53" s="251"/>
      <c r="C53" s="301"/>
      <c r="D53" s="301"/>
      <c r="E53" s="301"/>
      <c r="F53" s="301"/>
      <c r="G53" s="301"/>
      <c r="H53" s="301"/>
      <c r="I53" s="301"/>
      <c r="J53" s="301"/>
      <c r="K53" s="301"/>
      <c r="L53" s="301"/>
      <c r="M53" s="301"/>
      <c r="N53" s="301"/>
      <c r="O53" s="302"/>
      <c r="Q53" s="251"/>
      <c r="R53" s="301"/>
      <c r="S53" s="301"/>
      <c r="T53" s="301"/>
      <c r="U53" s="301"/>
      <c r="V53" s="301"/>
      <c r="W53" s="301"/>
      <c r="X53" s="301"/>
      <c r="Y53" s="301"/>
      <c r="Z53" s="301"/>
      <c r="AA53" s="301"/>
      <c r="AB53" s="301"/>
      <c r="AC53" s="301"/>
      <c r="AD53" s="302"/>
      <c r="AF53" s="251"/>
      <c r="AG53" s="301"/>
      <c r="AH53" s="301"/>
      <c r="AI53" s="301"/>
      <c r="AJ53" s="301"/>
      <c r="AK53" s="301"/>
      <c r="AL53" s="301"/>
      <c r="AM53" s="301"/>
      <c r="AN53" s="301"/>
      <c r="AO53" s="301"/>
      <c r="AP53" s="301"/>
      <c r="AQ53" s="301"/>
      <c r="AR53" s="301"/>
      <c r="AS53" s="302"/>
      <c r="AT53"/>
      <c r="AU53"/>
      <c r="AV53"/>
      <c r="AW53"/>
    </row>
    <row r="54" spans="1:49" s="112" customFormat="1" ht="15">
      <c r="B54" s="303"/>
      <c r="C54" s="306" t="s">
        <v>945</v>
      </c>
      <c r="D54" s="305"/>
      <c r="E54" s="305"/>
      <c r="F54" s="305"/>
      <c r="G54" s="305"/>
      <c r="H54" s="778"/>
      <c r="I54" s="778"/>
      <c r="J54" s="778"/>
      <c r="K54" s="778"/>
      <c r="L54" s="778"/>
      <c r="M54" s="778"/>
      <c r="N54" s="778"/>
      <c r="O54" s="304"/>
      <c r="P54"/>
      <c r="Q54" s="303"/>
      <c r="R54" s="306" t="s">
        <v>946</v>
      </c>
      <c r="S54" s="306"/>
      <c r="T54" s="306"/>
      <c r="U54" s="306"/>
      <c r="V54" s="306"/>
      <c r="W54" s="779"/>
      <c r="X54" s="779"/>
      <c r="Y54" s="779"/>
      <c r="Z54" s="779"/>
      <c r="AA54" s="779"/>
      <c r="AB54" s="779"/>
      <c r="AC54" s="779"/>
      <c r="AD54" s="304"/>
      <c r="AF54" s="303"/>
      <c r="AG54" s="306" t="s">
        <v>947</v>
      </c>
      <c r="AH54" s="306"/>
      <c r="AI54" s="306"/>
      <c r="AJ54" s="306"/>
      <c r="AK54" s="306"/>
      <c r="AL54" s="778"/>
      <c r="AM54" s="778"/>
      <c r="AN54" s="778"/>
      <c r="AO54" s="778"/>
      <c r="AP54" s="778"/>
      <c r="AQ54" s="778"/>
      <c r="AR54" s="778"/>
      <c r="AS54" s="304"/>
      <c r="AT54"/>
      <c r="AU54"/>
      <c r="AV54"/>
      <c r="AW54"/>
    </row>
    <row r="55" spans="1:49" s="112" customFormat="1" ht="15" customHeight="1">
      <c r="B55" s="303"/>
      <c r="C55" s="306"/>
      <c r="D55" s="305"/>
      <c r="E55" s="305"/>
      <c r="F55" s="305"/>
      <c r="G55" s="305"/>
      <c r="H55" s="305"/>
      <c r="I55" s="305"/>
      <c r="J55" s="305"/>
      <c r="K55" s="305"/>
      <c r="L55" s="305"/>
      <c r="M55" s="305"/>
      <c r="N55" s="305"/>
      <c r="O55" s="304"/>
      <c r="P55"/>
      <c r="Q55" s="303"/>
      <c r="R55" s="306"/>
      <c r="S55" s="306"/>
      <c r="T55" s="306"/>
      <c r="U55" s="306"/>
      <c r="V55" s="306"/>
      <c r="W55" s="306"/>
      <c r="X55" s="306"/>
      <c r="Y55" s="306"/>
      <c r="Z55" s="306"/>
      <c r="AA55" s="306"/>
      <c r="AB55" s="306"/>
      <c r="AC55" s="306"/>
      <c r="AD55" s="304"/>
      <c r="AF55" s="303"/>
      <c r="AG55" s="306"/>
      <c r="AH55" s="306"/>
      <c r="AI55" s="306"/>
      <c r="AJ55" s="306"/>
      <c r="AK55" s="306"/>
      <c r="AL55" s="306"/>
      <c r="AM55" s="306"/>
      <c r="AN55" s="306"/>
      <c r="AO55" s="306"/>
      <c r="AP55" s="306"/>
      <c r="AQ55" s="306"/>
      <c r="AR55" s="306"/>
      <c r="AS55" s="304"/>
      <c r="AT55"/>
      <c r="AU55"/>
      <c r="AV55"/>
      <c r="AW55"/>
    </row>
    <row r="56" spans="1:49" s="112" customFormat="1" ht="15" customHeight="1">
      <c r="B56" s="303"/>
      <c r="C56" s="782" t="s">
        <v>943</v>
      </c>
      <c r="D56" s="782"/>
      <c r="E56" s="782"/>
      <c r="F56" s="782"/>
      <c r="G56" s="782"/>
      <c r="H56" s="782"/>
      <c r="I56" s="782"/>
      <c r="J56" s="305"/>
      <c r="K56" s="782" t="s">
        <v>1482</v>
      </c>
      <c r="L56" s="782"/>
      <c r="M56" s="784" t="s">
        <v>944</v>
      </c>
      <c r="N56" s="784"/>
      <c r="O56" s="304"/>
      <c r="P56"/>
      <c r="Q56" s="303"/>
      <c r="R56" s="782" t="s">
        <v>943</v>
      </c>
      <c r="S56" s="782"/>
      <c r="T56" s="782"/>
      <c r="U56" s="782"/>
      <c r="V56" s="782"/>
      <c r="W56" s="782"/>
      <c r="X56" s="782"/>
      <c r="Y56" s="305"/>
      <c r="Z56" s="782" t="s">
        <v>1482</v>
      </c>
      <c r="AA56" s="782"/>
      <c r="AB56" s="784" t="s">
        <v>944</v>
      </c>
      <c r="AC56" s="784"/>
      <c r="AD56" s="304"/>
      <c r="AF56" s="303"/>
      <c r="AG56" s="782" t="s">
        <v>943</v>
      </c>
      <c r="AH56" s="782"/>
      <c r="AI56" s="782"/>
      <c r="AJ56" s="782"/>
      <c r="AK56" s="782"/>
      <c r="AL56" s="782"/>
      <c r="AM56" s="782"/>
      <c r="AN56" s="305"/>
      <c r="AO56" s="782" t="s">
        <v>1482</v>
      </c>
      <c r="AP56" s="782"/>
      <c r="AQ56" s="784" t="s">
        <v>944</v>
      </c>
      <c r="AR56" s="784"/>
      <c r="AS56" s="304"/>
      <c r="AT56"/>
      <c r="AU56"/>
      <c r="AV56"/>
      <c r="AW56"/>
    </row>
    <row r="57" spans="1:49" s="112" customFormat="1" ht="15">
      <c r="B57" s="303"/>
      <c r="C57" s="783"/>
      <c r="D57" s="783"/>
      <c r="E57" s="783"/>
      <c r="F57" s="783"/>
      <c r="G57" s="783"/>
      <c r="H57" s="783"/>
      <c r="I57" s="783"/>
      <c r="J57" s="306" t="s">
        <v>1483</v>
      </c>
      <c r="K57" s="782"/>
      <c r="L57" s="782"/>
      <c r="M57" s="785"/>
      <c r="N57" s="785"/>
      <c r="O57" s="308"/>
      <c r="P57"/>
      <c r="Q57" s="303"/>
      <c r="R57" s="783"/>
      <c r="S57" s="783"/>
      <c r="T57" s="783"/>
      <c r="U57" s="783"/>
      <c r="V57" s="783"/>
      <c r="W57" s="783"/>
      <c r="X57" s="783"/>
      <c r="Y57" s="306" t="s">
        <v>1483</v>
      </c>
      <c r="Z57" s="782"/>
      <c r="AA57" s="782"/>
      <c r="AB57" s="785"/>
      <c r="AC57" s="785"/>
      <c r="AD57" s="308"/>
      <c r="AF57" s="303"/>
      <c r="AG57" s="783"/>
      <c r="AH57" s="783"/>
      <c r="AI57" s="783"/>
      <c r="AJ57" s="783"/>
      <c r="AK57" s="783"/>
      <c r="AL57" s="783"/>
      <c r="AM57" s="783"/>
      <c r="AN57" s="306" t="s">
        <v>1483</v>
      </c>
      <c r="AO57" s="782"/>
      <c r="AP57" s="782"/>
      <c r="AQ57" s="785"/>
      <c r="AR57" s="785"/>
      <c r="AS57" s="308"/>
      <c r="AT57"/>
      <c r="AU57"/>
      <c r="AV57"/>
      <c r="AW57"/>
    </row>
    <row r="58" spans="1:49" s="112" customFormat="1" ht="15">
      <c r="B58" s="303">
        <v>1</v>
      </c>
      <c r="C58" s="779"/>
      <c r="D58" s="779"/>
      <c r="E58" s="779"/>
      <c r="F58" s="779"/>
      <c r="G58" s="779"/>
      <c r="H58" s="779"/>
      <c r="I58" s="779"/>
      <c r="J58" s="324"/>
      <c r="K58" s="781"/>
      <c r="L58" s="781"/>
      <c r="M58" s="780" t="str">
        <f t="shared" ref="M58:M81" si="6">IF(AND(ISBLANK(C58),ISBLANK(J58),ISBLANK(K58)),"",(IF(OR(ISBLANK(C58),ISBLANK(J58),ISBLANK(K58)),"Enter Info",(J58*K58))))</f>
        <v/>
      </c>
      <c r="N58" s="780"/>
      <c r="O58" s="308"/>
      <c r="P58"/>
      <c r="Q58" s="303">
        <v>1</v>
      </c>
      <c r="R58" s="779"/>
      <c r="S58" s="779"/>
      <c r="T58" s="779"/>
      <c r="U58" s="779"/>
      <c r="V58" s="779"/>
      <c r="W58" s="779"/>
      <c r="X58" s="779"/>
      <c r="Y58" s="324"/>
      <c r="Z58" s="781"/>
      <c r="AA58" s="781"/>
      <c r="AB58" s="780" t="str">
        <f t="shared" ref="AB58:AB87" si="7">IF(AND(ISBLANK(R58),ISBLANK(Y58),ISBLANK(Z58)),"",(IF(OR(ISBLANK(R58),ISBLANK(Y58),ISBLANK(Z58)),"Enter Info",(Y58*Z58))))</f>
        <v/>
      </c>
      <c r="AC58" s="780"/>
      <c r="AD58" s="308"/>
      <c r="AF58" s="303">
        <v>1</v>
      </c>
      <c r="AG58" s="779"/>
      <c r="AH58" s="779"/>
      <c r="AI58" s="779"/>
      <c r="AJ58" s="779"/>
      <c r="AK58" s="779"/>
      <c r="AL58" s="779"/>
      <c r="AM58" s="779"/>
      <c r="AN58" s="324"/>
      <c r="AO58" s="781"/>
      <c r="AP58" s="781"/>
      <c r="AQ58" s="780" t="str">
        <f t="shared" ref="AQ58:AQ87" si="8">IF(AND(ISBLANK(AG58),ISBLANK(AN58),ISBLANK(AO58)),"",(IF(OR(ISBLANK(AG58),ISBLANK(AN58),ISBLANK(AO58)),"Enter Info",(AN58*AO58))))</f>
        <v/>
      </c>
      <c r="AR58" s="780"/>
      <c r="AS58" s="308"/>
      <c r="AT58"/>
      <c r="AU58"/>
      <c r="AV58"/>
      <c r="AW58"/>
    </row>
    <row r="59" spans="1:49" s="112" customFormat="1" ht="15">
      <c r="B59" s="303">
        <v>2</v>
      </c>
      <c r="C59" s="779"/>
      <c r="D59" s="779"/>
      <c r="E59" s="779"/>
      <c r="F59" s="779"/>
      <c r="G59" s="779"/>
      <c r="H59" s="779"/>
      <c r="I59" s="779"/>
      <c r="J59" s="324"/>
      <c r="K59" s="781"/>
      <c r="L59" s="781"/>
      <c r="M59" s="780" t="str">
        <f t="shared" si="6"/>
        <v/>
      </c>
      <c r="N59" s="780"/>
      <c r="O59" s="308"/>
      <c r="P59"/>
      <c r="Q59" s="303">
        <v>2</v>
      </c>
      <c r="R59" s="779"/>
      <c r="S59" s="779"/>
      <c r="T59" s="779"/>
      <c r="U59" s="779"/>
      <c r="V59" s="779"/>
      <c r="W59" s="779"/>
      <c r="X59" s="779"/>
      <c r="Y59" s="324"/>
      <c r="Z59" s="781"/>
      <c r="AA59" s="781"/>
      <c r="AB59" s="780" t="str">
        <f t="shared" si="7"/>
        <v/>
      </c>
      <c r="AC59" s="780"/>
      <c r="AD59" s="308"/>
      <c r="AF59" s="303">
        <v>2</v>
      </c>
      <c r="AG59" s="779"/>
      <c r="AH59" s="779"/>
      <c r="AI59" s="779"/>
      <c r="AJ59" s="779"/>
      <c r="AK59" s="779"/>
      <c r="AL59" s="779"/>
      <c r="AM59" s="779"/>
      <c r="AN59" s="324"/>
      <c r="AO59" s="781"/>
      <c r="AP59" s="781"/>
      <c r="AQ59" s="780" t="str">
        <f t="shared" si="8"/>
        <v/>
      </c>
      <c r="AR59" s="780"/>
      <c r="AS59" s="308"/>
      <c r="AT59"/>
      <c r="AU59"/>
      <c r="AV59"/>
      <c r="AW59"/>
    </row>
    <row r="60" spans="1:49" s="112" customFormat="1" ht="15">
      <c r="B60" s="303">
        <v>3</v>
      </c>
      <c r="C60" s="779"/>
      <c r="D60" s="779"/>
      <c r="E60" s="779"/>
      <c r="F60" s="779"/>
      <c r="G60" s="779"/>
      <c r="H60" s="779"/>
      <c r="I60" s="779"/>
      <c r="J60" s="325"/>
      <c r="K60" s="781"/>
      <c r="L60" s="781"/>
      <c r="M60" s="780" t="str">
        <f t="shared" si="6"/>
        <v/>
      </c>
      <c r="N60" s="780"/>
      <c r="O60" s="308"/>
      <c r="P60"/>
      <c r="Q60" s="303">
        <v>3</v>
      </c>
      <c r="R60" s="779"/>
      <c r="S60" s="779"/>
      <c r="T60" s="779"/>
      <c r="U60" s="779"/>
      <c r="V60" s="779"/>
      <c r="W60" s="779"/>
      <c r="X60" s="779"/>
      <c r="Y60" s="325"/>
      <c r="Z60" s="781"/>
      <c r="AA60" s="781"/>
      <c r="AB60" s="780" t="str">
        <f t="shared" si="7"/>
        <v/>
      </c>
      <c r="AC60" s="780"/>
      <c r="AD60" s="308"/>
      <c r="AF60" s="303">
        <v>3</v>
      </c>
      <c r="AG60" s="779"/>
      <c r="AH60" s="779"/>
      <c r="AI60" s="779"/>
      <c r="AJ60" s="779"/>
      <c r="AK60" s="779"/>
      <c r="AL60" s="779"/>
      <c r="AM60" s="779"/>
      <c r="AN60" s="325"/>
      <c r="AO60" s="781"/>
      <c r="AP60" s="781"/>
      <c r="AQ60" s="780" t="str">
        <f t="shared" si="8"/>
        <v/>
      </c>
      <c r="AR60" s="780"/>
      <c r="AS60" s="308"/>
      <c r="AT60"/>
      <c r="AU60"/>
      <c r="AV60"/>
      <c r="AW60"/>
    </row>
    <row r="61" spans="1:49" s="112" customFormat="1" ht="15">
      <c r="B61" s="303">
        <v>4</v>
      </c>
      <c r="C61" s="779"/>
      <c r="D61" s="779"/>
      <c r="E61" s="779"/>
      <c r="F61" s="779"/>
      <c r="G61" s="779"/>
      <c r="H61" s="779"/>
      <c r="I61" s="779"/>
      <c r="J61" s="324"/>
      <c r="K61" s="781"/>
      <c r="L61" s="781"/>
      <c r="M61" s="780" t="str">
        <f t="shared" si="6"/>
        <v/>
      </c>
      <c r="N61" s="780"/>
      <c r="O61" s="308"/>
      <c r="P61"/>
      <c r="Q61" s="303">
        <v>4</v>
      </c>
      <c r="R61" s="779"/>
      <c r="S61" s="779"/>
      <c r="T61" s="779"/>
      <c r="U61" s="779"/>
      <c r="V61" s="779"/>
      <c r="W61" s="779"/>
      <c r="X61" s="779"/>
      <c r="Y61" s="324"/>
      <c r="Z61" s="781"/>
      <c r="AA61" s="781"/>
      <c r="AB61" s="780" t="str">
        <f t="shared" si="7"/>
        <v/>
      </c>
      <c r="AC61" s="780"/>
      <c r="AD61" s="308"/>
      <c r="AF61" s="303">
        <v>4</v>
      </c>
      <c r="AG61" s="779"/>
      <c r="AH61" s="779"/>
      <c r="AI61" s="779"/>
      <c r="AJ61" s="779"/>
      <c r="AK61" s="779"/>
      <c r="AL61" s="779"/>
      <c r="AM61" s="779"/>
      <c r="AN61" s="324"/>
      <c r="AO61" s="781"/>
      <c r="AP61" s="781"/>
      <c r="AQ61" s="780" t="str">
        <f t="shared" si="8"/>
        <v/>
      </c>
      <c r="AR61" s="780"/>
      <c r="AS61" s="308"/>
      <c r="AT61"/>
      <c r="AU61"/>
      <c r="AV61"/>
      <c r="AW61"/>
    </row>
    <row r="62" spans="1:49" s="112" customFormat="1" ht="15">
      <c r="B62" s="303">
        <v>5</v>
      </c>
      <c r="C62" s="779"/>
      <c r="D62" s="779"/>
      <c r="E62" s="779"/>
      <c r="F62" s="779"/>
      <c r="G62" s="779"/>
      <c r="H62" s="779"/>
      <c r="I62" s="779"/>
      <c r="J62" s="324"/>
      <c r="K62" s="781"/>
      <c r="L62" s="781"/>
      <c r="M62" s="780" t="str">
        <f t="shared" si="6"/>
        <v/>
      </c>
      <c r="N62" s="780"/>
      <c r="O62" s="308"/>
      <c r="P62"/>
      <c r="Q62" s="303">
        <v>5</v>
      </c>
      <c r="R62" s="779"/>
      <c r="S62" s="779"/>
      <c r="T62" s="779"/>
      <c r="U62" s="779"/>
      <c r="V62" s="779"/>
      <c r="W62" s="779"/>
      <c r="X62" s="779"/>
      <c r="Y62" s="324"/>
      <c r="Z62" s="781"/>
      <c r="AA62" s="781"/>
      <c r="AB62" s="780" t="str">
        <f t="shared" si="7"/>
        <v/>
      </c>
      <c r="AC62" s="780"/>
      <c r="AD62" s="308"/>
      <c r="AF62" s="303">
        <v>5</v>
      </c>
      <c r="AG62" s="779"/>
      <c r="AH62" s="779"/>
      <c r="AI62" s="779"/>
      <c r="AJ62" s="779"/>
      <c r="AK62" s="779"/>
      <c r="AL62" s="779"/>
      <c r="AM62" s="779"/>
      <c r="AN62" s="324"/>
      <c r="AO62" s="781"/>
      <c r="AP62" s="781"/>
      <c r="AQ62" s="780" t="str">
        <f t="shared" si="8"/>
        <v/>
      </c>
      <c r="AR62" s="780"/>
      <c r="AS62" s="308"/>
      <c r="AT62"/>
      <c r="AU62"/>
      <c r="AV62"/>
      <c r="AW62"/>
    </row>
    <row r="63" spans="1:49" s="112" customFormat="1" ht="15">
      <c r="B63" s="303">
        <v>6</v>
      </c>
      <c r="C63" s="779"/>
      <c r="D63" s="779"/>
      <c r="E63" s="779"/>
      <c r="F63" s="779"/>
      <c r="G63" s="779"/>
      <c r="H63" s="779"/>
      <c r="I63" s="779"/>
      <c r="J63" s="324"/>
      <c r="K63" s="781"/>
      <c r="L63" s="781"/>
      <c r="M63" s="780" t="str">
        <f t="shared" si="6"/>
        <v/>
      </c>
      <c r="N63" s="780"/>
      <c r="O63" s="308"/>
      <c r="P63"/>
      <c r="Q63" s="303">
        <v>6</v>
      </c>
      <c r="R63" s="779"/>
      <c r="S63" s="779"/>
      <c r="T63" s="779"/>
      <c r="U63" s="779"/>
      <c r="V63" s="779"/>
      <c r="W63" s="779"/>
      <c r="X63" s="779"/>
      <c r="Y63" s="324"/>
      <c r="Z63" s="781"/>
      <c r="AA63" s="781"/>
      <c r="AB63" s="780" t="str">
        <f t="shared" si="7"/>
        <v/>
      </c>
      <c r="AC63" s="780"/>
      <c r="AD63" s="308"/>
      <c r="AF63" s="303">
        <v>6</v>
      </c>
      <c r="AG63" s="779"/>
      <c r="AH63" s="779"/>
      <c r="AI63" s="779"/>
      <c r="AJ63" s="779"/>
      <c r="AK63" s="779"/>
      <c r="AL63" s="779"/>
      <c r="AM63" s="779"/>
      <c r="AN63" s="324"/>
      <c r="AO63" s="781"/>
      <c r="AP63" s="781"/>
      <c r="AQ63" s="780" t="str">
        <f t="shared" si="8"/>
        <v/>
      </c>
      <c r="AR63" s="780"/>
      <c r="AS63" s="308"/>
      <c r="AT63"/>
      <c r="AU63"/>
      <c r="AV63"/>
      <c r="AW63"/>
    </row>
    <row r="64" spans="1:49" s="112" customFormat="1" ht="15">
      <c r="B64" s="303">
        <v>7</v>
      </c>
      <c r="C64" s="779"/>
      <c r="D64" s="779"/>
      <c r="E64" s="779"/>
      <c r="F64" s="779"/>
      <c r="G64" s="779"/>
      <c r="H64" s="779"/>
      <c r="I64" s="779"/>
      <c r="J64" s="324"/>
      <c r="K64" s="781"/>
      <c r="L64" s="781"/>
      <c r="M64" s="780" t="str">
        <f t="shared" si="6"/>
        <v/>
      </c>
      <c r="N64" s="780"/>
      <c r="O64" s="308"/>
      <c r="P64"/>
      <c r="Q64" s="303">
        <v>7</v>
      </c>
      <c r="R64" s="779"/>
      <c r="S64" s="779"/>
      <c r="T64" s="779"/>
      <c r="U64" s="779"/>
      <c r="V64" s="779"/>
      <c r="W64" s="779"/>
      <c r="X64" s="779"/>
      <c r="Y64" s="324"/>
      <c r="Z64" s="781"/>
      <c r="AA64" s="781"/>
      <c r="AB64" s="780" t="str">
        <f t="shared" si="7"/>
        <v/>
      </c>
      <c r="AC64" s="780"/>
      <c r="AD64" s="308"/>
      <c r="AF64" s="303">
        <v>7</v>
      </c>
      <c r="AG64" s="779"/>
      <c r="AH64" s="779"/>
      <c r="AI64" s="779"/>
      <c r="AJ64" s="779"/>
      <c r="AK64" s="779"/>
      <c r="AL64" s="779"/>
      <c r="AM64" s="779"/>
      <c r="AN64" s="324"/>
      <c r="AO64" s="781"/>
      <c r="AP64" s="781"/>
      <c r="AQ64" s="780" t="str">
        <f t="shared" si="8"/>
        <v/>
      </c>
      <c r="AR64" s="780"/>
      <c r="AS64" s="308"/>
      <c r="AT64"/>
      <c r="AU64"/>
      <c r="AV64"/>
      <c r="AW64"/>
    </row>
    <row r="65" spans="2:49" s="112" customFormat="1" ht="15">
      <c r="B65" s="303">
        <v>8</v>
      </c>
      <c r="C65" s="779"/>
      <c r="D65" s="779"/>
      <c r="E65" s="779"/>
      <c r="F65" s="779"/>
      <c r="G65" s="779"/>
      <c r="H65" s="779"/>
      <c r="I65" s="779"/>
      <c r="J65" s="324"/>
      <c r="K65" s="781"/>
      <c r="L65" s="781"/>
      <c r="M65" s="780" t="str">
        <f t="shared" si="6"/>
        <v/>
      </c>
      <c r="N65" s="780"/>
      <c r="O65" s="308"/>
      <c r="P65"/>
      <c r="Q65" s="303">
        <v>8</v>
      </c>
      <c r="R65" s="779"/>
      <c r="S65" s="779"/>
      <c r="T65" s="779"/>
      <c r="U65" s="779"/>
      <c r="V65" s="779"/>
      <c r="W65" s="779"/>
      <c r="X65" s="779"/>
      <c r="Y65" s="324"/>
      <c r="Z65" s="781"/>
      <c r="AA65" s="781"/>
      <c r="AB65" s="780" t="str">
        <f t="shared" si="7"/>
        <v/>
      </c>
      <c r="AC65" s="780"/>
      <c r="AD65" s="308"/>
      <c r="AF65" s="303">
        <v>8</v>
      </c>
      <c r="AG65" s="779"/>
      <c r="AH65" s="779"/>
      <c r="AI65" s="779"/>
      <c r="AJ65" s="779"/>
      <c r="AK65" s="779"/>
      <c r="AL65" s="779"/>
      <c r="AM65" s="779"/>
      <c r="AN65" s="324"/>
      <c r="AO65" s="781"/>
      <c r="AP65" s="781"/>
      <c r="AQ65" s="780" t="str">
        <f t="shared" si="8"/>
        <v/>
      </c>
      <c r="AR65" s="780"/>
      <c r="AS65" s="308"/>
      <c r="AT65"/>
      <c r="AU65"/>
      <c r="AV65"/>
      <c r="AW65"/>
    </row>
    <row r="66" spans="2:49" s="112" customFormat="1" ht="15">
      <c r="B66" s="303">
        <v>9</v>
      </c>
      <c r="C66" s="779"/>
      <c r="D66" s="779"/>
      <c r="E66" s="779"/>
      <c r="F66" s="779"/>
      <c r="G66" s="779"/>
      <c r="H66" s="779"/>
      <c r="I66" s="779"/>
      <c r="J66" s="324"/>
      <c r="K66" s="781"/>
      <c r="L66" s="781"/>
      <c r="M66" s="780" t="str">
        <f t="shared" si="6"/>
        <v/>
      </c>
      <c r="N66" s="780"/>
      <c r="O66" s="308"/>
      <c r="P66"/>
      <c r="Q66" s="303">
        <v>9</v>
      </c>
      <c r="R66" s="779"/>
      <c r="S66" s="779"/>
      <c r="T66" s="779"/>
      <c r="U66" s="779"/>
      <c r="V66" s="779"/>
      <c r="W66" s="779"/>
      <c r="X66" s="779"/>
      <c r="Y66" s="324"/>
      <c r="Z66" s="781"/>
      <c r="AA66" s="781"/>
      <c r="AB66" s="780" t="str">
        <f t="shared" si="7"/>
        <v/>
      </c>
      <c r="AC66" s="780"/>
      <c r="AD66" s="308"/>
      <c r="AF66" s="303">
        <v>9</v>
      </c>
      <c r="AG66" s="779"/>
      <c r="AH66" s="779"/>
      <c r="AI66" s="779"/>
      <c r="AJ66" s="779"/>
      <c r="AK66" s="779"/>
      <c r="AL66" s="779"/>
      <c r="AM66" s="779"/>
      <c r="AN66" s="324"/>
      <c r="AO66" s="781"/>
      <c r="AP66" s="781"/>
      <c r="AQ66" s="780" t="str">
        <f t="shared" si="8"/>
        <v/>
      </c>
      <c r="AR66" s="780"/>
      <c r="AS66" s="308"/>
      <c r="AT66"/>
      <c r="AU66"/>
      <c r="AV66"/>
      <c r="AW66"/>
    </row>
    <row r="67" spans="2:49" s="112" customFormat="1" ht="15">
      <c r="B67" s="303">
        <v>10</v>
      </c>
      <c r="C67" s="779"/>
      <c r="D67" s="779"/>
      <c r="E67" s="779"/>
      <c r="F67" s="779"/>
      <c r="G67" s="779"/>
      <c r="H67" s="779"/>
      <c r="I67" s="779"/>
      <c r="J67" s="324"/>
      <c r="K67" s="781"/>
      <c r="L67" s="781"/>
      <c r="M67" s="780" t="str">
        <f t="shared" si="6"/>
        <v/>
      </c>
      <c r="N67" s="780"/>
      <c r="O67" s="308"/>
      <c r="P67"/>
      <c r="Q67" s="303">
        <v>10</v>
      </c>
      <c r="R67" s="779"/>
      <c r="S67" s="779"/>
      <c r="T67" s="779"/>
      <c r="U67" s="779"/>
      <c r="V67" s="779"/>
      <c r="W67" s="779"/>
      <c r="X67" s="779"/>
      <c r="Y67" s="324"/>
      <c r="Z67" s="781"/>
      <c r="AA67" s="781"/>
      <c r="AB67" s="780" t="str">
        <f t="shared" si="7"/>
        <v/>
      </c>
      <c r="AC67" s="780"/>
      <c r="AD67" s="308"/>
      <c r="AF67" s="303">
        <v>10</v>
      </c>
      <c r="AG67" s="779"/>
      <c r="AH67" s="779"/>
      <c r="AI67" s="779"/>
      <c r="AJ67" s="779"/>
      <c r="AK67" s="779"/>
      <c r="AL67" s="779"/>
      <c r="AM67" s="779"/>
      <c r="AN67" s="324"/>
      <c r="AO67" s="781"/>
      <c r="AP67" s="781"/>
      <c r="AQ67" s="780" t="str">
        <f t="shared" si="8"/>
        <v/>
      </c>
      <c r="AR67" s="780"/>
      <c r="AS67" s="308"/>
      <c r="AT67"/>
      <c r="AU67"/>
      <c r="AV67"/>
      <c r="AW67"/>
    </row>
    <row r="68" spans="2:49" s="112" customFormat="1" ht="15">
      <c r="B68" s="303">
        <v>11</v>
      </c>
      <c r="C68" s="779"/>
      <c r="D68" s="779"/>
      <c r="E68" s="779"/>
      <c r="F68" s="779"/>
      <c r="G68" s="779"/>
      <c r="H68" s="779"/>
      <c r="I68" s="779"/>
      <c r="J68" s="324"/>
      <c r="K68" s="781"/>
      <c r="L68" s="781"/>
      <c r="M68" s="780" t="str">
        <f t="shared" si="6"/>
        <v/>
      </c>
      <c r="N68" s="780"/>
      <c r="O68" s="308"/>
      <c r="P68"/>
      <c r="Q68" s="303">
        <v>11</v>
      </c>
      <c r="R68" s="779"/>
      <c r="S68" s="779"/>
      <c r="T68" s="779"/>
      <c r="U68" s="779"/>
      <c r="V68" s="779"/>
      <c r="W68" s="779"/>
      <c r="X68" s="779"/>
      <c r="Y68" s="324"/>
      <c r="Z68" s="781"/>
      <c r="AA68" s="781"/>
      <c r="AB68" s="780" t="str">
        <f t="shared" si="7"/>
        <v/>
      </c>
      <c r="AC68" s="780"/>
      <c r="AD68" s="308"/>
      <c r="AF68" s="303">
        <v>11</v>
      </c>
      <c r="AG68" s="779"/>
      <c r="AH68" s="779"/>
      <c r="AI68" s="779"/>
      <c r="AJ68" s="779"/>
      <c r="AK68" s="779"/>
      <c r="AL68" s="779"/>
      <c r="AM68" s="779"/>
      <c r="AN68" s="324"/>
      <c r="AO68" s="781"/>
      <c r="AP68" s="781"/>
      <c r="AQ68" s="780" t="str">
        <f t="shared" si="8"/>
        <v/>
      </c>
      <c r="AR68" s="780"/>
      <c r="AS68" s="308"/>
      <c r="AT68"/>
      <c r="AU68"/>
      <c r="AV68"/>
      <c r="AW68"/>
    </row>
    <row r="69" spans="2:49" s="112" customFormat="1" ht="15">
      <c r="B69" s="303">
        <v>12</v>
      </c>
      <c r="C69" s="779"/>
      <c r="D69" s="779"/>
      <c r="E69" s="779"/>
      <c r="F69" s="779"/>
      <c r="G69" s="779"/>
      <c r="H69" s="779"/>
      <c r="I69" s="779"/>
      <c r="J69" s="324"/>
      <c r="K69" s="781"/>
      <c r="L69" s="781"/>
      <c r="M69" s="780" t="str">
        <f t="shared" si="6"/>
        <v/>
      </c>
      <c r="N69" s="780"/>
      <c r="O69" s="308"/>
      <c r="P69"/>
      <c r="Q69" s="303">
        <v>12</v>
      </c>
      <c r="R69" s="779"/>
      <c r="S69" s="779"/>
      <c r="T69" s="779"/>
      <c r="U69" s="779"/>
      <c r="V69" s="779"/>
      <c r="W69" s="779"/>
      <c r="X69" s="779"/>
      <c r="Y69" s="324"/>
      <c r="Z69" s="781"/>
      <c r="AA69" s="781"/>
      <c r="AB69" s="780" t="str">
        <f t="shared" si="7"/>
        <v/>
      </c>
      <c r="AC69" s="780"/>
      <c r="AD69" s="308"/>
      <c r="AF69" s="303">
        <v>12</v>
      </c>
      <c r="AG69" s="779"/>
      <c r="AH69" s="779"/>
      <c r="AI69" s="779"/>
      <c r="AJ69" s="779"/>
      <c r="AK69" s="779"/>
      <c r="AL69" s="779"/>
      <c r="AM69" s="779"/>
      <c r="AN69" s="324"/>
      <c r="AO69" s="781"/>
      <c r="AP69" s="781"/>
      <c r="AQ69" s="780" t="str">
        <f t="shared" si="8"/>
        <v/>
      </c>
      <c r="AR69" s="780"/>
      <c r="AS69" s="308"/>
      <c r="AT69"/>
      <c r="AU69"/>
      <c r="AV69"/>
      <c r="AW69"/>
    </row>
    <row r="70" spans="2:49" s="112" customFormat="1" ht="15">
      <c r="B70" s="303">
        <v>13</v>
      </c>
      <c r="C70" s="779"/>
      <c r="D70" s="779"/>
      <c r="E70" s="779"/>
      <c r="F70" s="779"/>
      <c r="G70" s="779"/>
      <c r="H70" s="779"/>
      <c r="I70" s="779"/>
      <c r="J70" s="324"/>
      <c r="K70" s="781"/>
      <c r="L70" s="781"/>
      <c r="M70" s="780" t="str">
        <f t="shared" si="6"/>
        <v/>
      </c>
      <c r="N70" s="780"/>
      <c r="O70" s="308"/>
      <c r="P70"/>
      <c r="Q70" s="303">
        <v>13</v>
      </c>
      <c r="R70" s="779"/>
      <c r="S70" s="779"/>
      <c r="T70" s="779"/>
      <c r="U70" s="779"/>
      <c r="V70" s="779"/>
      <c r="W70" s="779"/>
      <c r="X70" s="779"/>
      <c r="Y70" s="324"/>
      <c r="Z70" s="781"/>
      <c r="AA70" s="781"/>
      <c r="AB70" s="780" t="str">
        <f t="shared" si="7"/>
        <v/>
      </c>
      <c r="AC70" s="780"/>
      <c r="AD70" s="308"/>
      <c r="AF70" s="303">
        <v>13</v>
      </c>
      <c r="AG70" s="779"/>
      <c r="AH70" s="779"/>
      <c r="AI70" s="779"/>
      <c r="AJ70" s="779"/>
      <c r="AK70" s="779"/>
      <c r="AL70" s="779"/>
      <c r="AM70" s="779"/>
      <c r="AN70" s="324"/>
      <c r="AO70" s="781"/>
      <c r="AP70" s="781"/>
      <c r="AQ70" s="780" t="str">
        <f t="shared" si="8"/>
        <v/>
      </c>
      <c r="AR70" s="780"/>
      <c r="AS70" s="308"/>
      <c r="AT70"/>
      <c r="AU70"/>
      <c r="AV70"/>
      <c r="AW70"/>
    </row>
    <row r="71" spans="2:49" s="112" customFormat="1" ht="15">
      <c r="B71" s="303">
        <v>14</v>
      </c>
      <c r="C71" s="779"/>
      <c r="D71" s="779"/>
      <c r="E71" s="779"/>
      <c r="F71" s="779"/>
      <c r="G71" s="779"/>
      <c r="H71" s="779"/>
      <c r="I71" s="779"/>
      <c r="J71" s="324"/>
      <c r="K71" s="781"/>
      <c r="L71" s="781"/>
      <c r="M71" s="780" t="str">
        <f t="shared" si="6"/>
        <v/>
      </c>
      <c r="N71" s="780"/>
      <c r="O71" s="308"/>
      <c r="P71"/>
      <c r="Q71" s="303">
        <v>14</v>
      </c>
      <c r="R71" s="779"/>
      <c r="S71" s="779"/>
      <c r="T71" s="779"/>
      <c r="U71" s="779"/>
      <c r="V71" s="779"/>
      <c r="W71" s="779"/>
      <c r="X71" s="779"/>
      <c r="Y71" s="324"/>
      <c r="Z71" s="781"/>
      <c r="AA71" s="781"/>
      <c r="AB71" s="780" t="str">
        <f t="shared" si="7"/>
        <v/>
      </c>
      <c r="AC71" s="780"/>
      <c r="AD71" s="308"/>
      <c r="AF71" s="303">
        <v>14</v>
      </c>
      <c r="AG71" s="779"/>
      <c r="AH71" s="779"/>
      <c r="AI71" s="779"/>
      <c r="AJ71" s="779"/>
      <c r="AK71" s="779"/>
      <c r="AL71" s="779"/>
      <c r="AM71" s="779"/>
      <c r="AN71" s="324"/>
      <c r="AO71" s="781"/>
      <c r="AP71" s="781"/>
      <c r="AQ71" s="780" t="str">
        <f t="shared" si="8"/>
        <v/>
      </c>
      <c r="AR71" s="780"/>
      <c r="AS71" s="308"/>
      <c r="AT71"/>
      <c r="AU71"/>
      <c r="AV71"/>
      <c r="AW71"/>
    </row>
    <row r="72" spans="2:49" s="112" customFormat="1" ht="15">
      <c r="B72" s="303">
        <v>15</v>
      </c>
      <c r="C72" s="779"/>
      <c r="D72" s="779"/>
      <c r="E72" s="779"/>
      <c r="F72" s="779"/>
      <c r="G72" s="779"/>
      <c r="H72" s="779"/>
      <c r="I72" s="779"/>
      <c r="J72" s="324"/>
      <c r="K72" s="781"/>
      <c r="L72" s="781"/>
      <c r="M72" s="780" t="str">
        <f t="shared" si="6"/>
        <v/>
      </c>
      <c r="N72" s="780"/>
      <c r="O72" s="308"/>
      <c r="P72"/>
      <c r="Q72" s="303">
        <v>15</v>
      </c>
      <c r="R72" s="779"/>
      <c r="S72" s="779"/>
      <c r="T72" s="779"/>
      <c r="U72" s="779"/>
      <c r="V72" s="779"/>
      <c r="W72" s="779"/>
      <c r="X72" s="779"/>
      <c r="Y72" s="324"/>
      <c r="Z72" s="781"/>
      <c r="AA72" s="781"/>
      <c r="AB72" s="780" t="str">
        <f t="shared" si="7"/>
        <v/>
      </c>
      <c r="AC72" s="780"/>
      <c r="AD72" s="308"/>
      <c r="AF72" s="303">
        <v>15</v>
      </c>
      <c r="AG72" s="779"/>
      <c r="AH72" s="779"/>
      <c r="AI72" s="779"/>
      <c r="AJ72" s="779"/>
      <c r="AK72" s="779"/>
      <c r="AL72" s="779"/>
      <c r="AM72" s="779"/>
      <c r="AN72" s="324"/>
      <c r="AO72" s="781"/>
      <c r="AP72" s="781"/>
      <c r="AQ72" s="780" t="str">
        <f t="shared" si="8"/>
        <v/>
      </c>
      <c r="AR72" s="780"/>
      <c r="AS72" s="308"/>
      <c r="AT72"/>
      <c r="AU72"/>
      <c r="AV72"/>
      <c r="AW72"/>
    </row>
    <row r="73" spans="2:49" s="112" customFormat="1" ht="15">
      <c r="B73" s="303">
        <v>16</v>
      </c>
      <c r="C73" s="779"/>
      <c r="D73" s="779"/>
      <c r="E73" s="779"/>
      <c r="F73" s="779"/>
      <c r="G73" s="779"/>
      <c r="H73" s="779"/>
      <c r="I73" s="779"/>
      <c r="J73" s="324"/>
      <c r="K73" s="781"/>
      <c r="L73" s="781"/>
      <c r="M73" s="780" t="str">
        <f t="shared" si="6"/>
        <v/>
      </c>
      <c r="N73" s="780"/>
      <c r="O73" s="308"/>
      <c r="P73"/>
      <c r="Q73" s="303">
        <v>16</v>
      </c>
      <c r="R73" s="779"/>
      <c r="S73" s="779"/>
      <c r="T73" s="779"/>
      <c r="U73" s="779"/>
      <c r="V73" s="779"/>
      <c r="W73" s="779"/>
      <c r="X73" s="779"/>
      <c r="Y73" s="324"/>
      <c r="Z73" s="781"/>
      <c r="AA73" s="781"/>
      <c r="AB73" s="780" t="str">
        <f t="shared" si="7"/>
        <v/>
      </c>
      <c r="AC73" s="780"/>
      <c r="AD73" s="308"/>
      <c r="AF73" s="303">
        <v>16</v>
      </c>
      <c r="AG73" s="779"/>
      <c r="AH73" s="779"/>
      <c r="AI73" s="779"/>
      <c r="AJ73" s="779"/>
      <c r="AK73" s="779"/>
      <c r="AL73" s="779"/>
      <c r="AM73" s="779"/>
      <c r="AN73" s="324"/>
      <c r="AO73" s="781"/>
      <c r="AP73" s="781"/>
      <c r="AQ73" s="780" t="str">
        <f t="shared" si="8"/>
        <v/>
      </c>
      <c r="AR73" s="780"/>
      <c r="AS73" s="308"/>
      <c r="AT73"/>
      <c r="AU73"/>
      <c r="AV73"/>
      <c r="AW73"/>
    </row>
    <row r="74" spans="2:49" s="112" customFormat="1" ht="15">
      <c r="B74" s="303">
        <v>17</v>
      </c>
      <c r="C74" s="779"/>
      <c r="D74" s="779"/>
      <c r="E74" s="779"/>
      <c r="F74" s="779"/>
      <c r="G74" s="779"/>
      <c r="H74" s="779"/>
      <c r="I74" s="779"/>
      <c r="J74" s="324"/>
      <c r="K74" s="781"/>
      <c r="L74" s="781"/>
      <c r="M74" s="780" t="str">
        <f t="shared" si="6"/>
        <v/>
      </c>
      <c r="N74" s="780"/>
      <c r="O74" s="308"/>
      <c r="P74"/>
      <c r="Q74" s="303">
        <v>17</v>
      </c>
      <c r="R74" s="779"/>
      <c r="S74" s="779"/>
      <c r="T74" s="779"/>
      <c r="U74" s="779"/>
      <c r="V74" s="779"/>
      <c r="W74" s="779"/>
      <c r="X74" s="779"/>
      <c r="Y74" s="324"/>
      <c r="Z74" s="781"/>
      <c r="AA74" s="781"/>
      <c r="AB74" s="780" t="str">
        <f t="shared" si="7"/>
        <v/>
      </c>
      <c r="AC74" s="780"/>
      <c r="AD74" s="308"/>
      <c r="AF74" s="303">
        <v>17</v>
      </c>
      <c r="AG74" s="779"/>
      <c r="AH74" s="779"/>
      <c r="AI74" s="779"/>
      <c r="AJ74" s="779"/>
      <c r="AK74" s="779"/>
      <c r="AL74" s="779"/>
      <c r="AM74" s="779"/>
      <c r="AN74" s="324"/>
      <c r="AO74" s="781"/>
      <c r="AP74" s="781"/>
      <c r="AQ74" s="780" t="str">
        <f t="shared" si="8"/>
        <v/>
      </c>
      <c r="AR74" s="780"/>
      <c r="AS74" s="308"/>
      <c r="AT74"/>
      <c r="AU74"/>
      <c r="AV74"/>
      <c r="AW74"/>
    </row>
    <row r="75" spans="2:49" s="112" customFormat="1" ht="15">
      <c r="B75" s="303">
        <v>18</v>
      </c>
      <c r="C75" s="779"/>
      <c r="D75" s="779"/>
      <c r="E75" s="779"/>
      <c r="F75" s="779"/>
      <c r="G75" s="779"/>
      <c r="H75" s="779"/>
      <c r="I75" s="779"/>
      <c r="J75" s="324"/>
      <c r="K75" s="781"/>
      <c r="L75" s="781"/>
      <c r="M75" s="780" t="str">
        <f t="shared" si="6"/>
        <v/>
      </c>
      <c r="N75" s="780"/>
      <c r="O75" s="308"/>
      <c r="P75"/>
      <c r="Q75" s="303">
        <v>18</v>
      </c>
      <c r="R75" s="779"/>
      <c r="S75" s="779"/>
      <c r="T75" s="779"/>
      <c r="U75" s="779"/>
      <c r="V75" s="779"/>
      <c r="W75" s="779"/>
      <c r="X75" s="779"/>
      <c r="Y75" s="324"/>
      <c r="Z75" s="781"/>
      <c r="AA75" s="781"/>
      <c r="AB75" s="780" t="str">
        <f t="shared" si="7"/>
        <v/>
      </c>
      <c r="AC75" s="780"/>
      <c r="AD75" s="308"/>
      <c r="AF75" s="303">
        <v>18</v>
      </c>
      <c r="AG75" s="779"/>
      <c r="AH75" s="779"/>
      <c r="AI75" s="779"/>
      <c r="AJ75" s="779"/>
      <c r="AK75" s="779"/>
      <c r="AL75" s="779"/>
      <c r="AM75" s="779"/>
      <c r="AN75" s="324"/>
      <c r="AO75" s="781"/>
      <c r="AP75" s="781"/>
      <c r="AQ75" s="780" t="str">
        <f t="shared" si="8"/>
        <v/>
      </c>
      <c r="AR75" s="780"/>
      <c r="AS75" s="308"/>
      <c r="AT75"/>
      <c r="AU75"/>
      <c r="AV75"/>
      <c r="AW75"/>
    </row>
    <row r="76" spans="2:49" s="112" customFormat="1" ht="15">
      <c r="B76" s="303">
        <v>19</v>
      </c>
      <c r="C76" s="779"/>
      <c r="D76" s="779"/>
      <c r="E76" s="779"/>
      <c r="F76" s="779"/>
      <c r="G76" s="779"/>
      <c r="H76" s="779"/>
      <c r="I76" s="779"/>
      <c r="J76" s="324"/>
      <c r="K76" s="781"/>
      <c r="L76" s="781"/>
      <c r="M76" s="780" t="str">
        <f t="shared" si="6"/>
        <v/>
      </c>
      <c r="N76" s="780"/>
      <c r="O76" s="308"/>
      <c r="P76"/>
      <c r="Q76" s="303">
        <v>19</v>
      </c>
      <c r="R76" s="779"/>
      <c r="S76" s="779"/>
      <c r="T76" s="779"/>
      <c r="U76" s="779"/>
      <c r="V76" s="779"/>
      <c r="W76" s="779"/>
      <c r="X76" s="779"/>
      <c r="Y76" s="324"/>
      <c r="Z76" s="781"/>
      <c r="AA76" s="781"/>
      <c r="AB76" s="780" t="str">
        <f t="shared" si="7"/>
        <v/>
      </c>
      <c r="AC76" s="780"/>
      <c r="AD76" s="308"/>
      <c r="AF76" s="303">
        <v>19</v>
      </c>
      <c r="AG76" s="779"/>
      <c r="AH76" s="779"/>
      <c r="AI76" s="779"/>
      <c r="AJ76" s="779"/>
      <c r="AK76" s="779"/>
      <c r="AL76" s="779"/>
      <c r="AM76" s="779"/>
      <c r="AN76" s="324"/>
      <c r="AO76" s="781"/>
      <c r="AP76" s="781"/>
      <c r="AQ76" s="780" t="str">
        <f t="shared" si="8"/>
        <v/>
      </c>
      <c r="AR76" s="780"/>
      <c r="AS76" s="308"/>
      <c r="AT76"/>
      <c r="AU76"/>
      <c r="AV76"/>
      <c r="AW76"/>
    </row>
    <row r="77" spans="2:49" s="112" customFormat="1" ht="15">
      <c r="B77" s="303">
        <v>20</v>
      </c>
      <c r="C77" s="779"/>
      <c r="D77" s="779"/>
      <c r="E77" s="779"/>
      <c r="F77" s="779"/>
      <c r="G77" s="779"/>
      <c r="H77" s="779"/>
      <c r="I77" s="779"/>
      <c r="J77" s="324"/>
      <c r="K77" s="781"/>
      <c r="L77" s="781"/>
      <c r="M77" s="780" t="str">
        <f t="shared" si="6"/>
        <v/>
      </c>
      <c r="N77" s="780"/>
      <c r="O77" s="308"/>
      <c r="P77"/>
      <c r="Q77" s="303">
        <v>20</v>
      </c>
      <c r="R77" s="779"/>
      <c r="S77" s="779"/>
      <c r="T77" s="779"/>
      <c r="U77" s="779"/>
      <c r="V77" s="779"/>
      <c r="W77" s="779"/>
      <c r="X77" s="779"/>
      <c r="Y77" s="324"/>
      <c r="Z77" s="781"/>
      <c r="AA77" s="781"/>
      <c r="AB77" s="780" t="str">
        <f t="shared" si="7"/>
        <v/>
      </c>
      <c r="AC77" s="780"/>
      <c r="AD77" s="308"/>
      <c r="AF77" s="303">
        <v>20</v>
      </c>
      <c r="AG77" s="779"/>
      <c r="AH77" s="779"/>
      <c r="AI77" s="779"/>
      <c r="AJ77" s="779"/>
      <c r="AK77" s="779"/>
      <c r="AL77" s="779"/>
      <c r="AM77" s="779"/>
      <c r="AN77" s="324"/>
      <c r="AO77" s="781"/>
      <c r="AP77" s="781"/>
      <c r="AQ77" s="780" t="str">
        <f t="shared" si="8"/>
        <v/>
      </c>
      <c r="AR77" s="780"/>
      <c r="AS77" s="308"/>
      <c r="AT77"/>
      <c r="AU77"/>
      <c r="AV77"/>
      <c r="AW77"/>
    </row>
    <row r="78" spans="2:49" s="112" customFormat="1" ht="15">
      <c r="B78" s="303">
        <v>21</v>
      </c>
      <c r="C78" s="779"/>
      <c r="D78" s="779"/>
      <c r="E78" s="779"/>
      <c r="F78" s="779"/>
      <c r="G78" s="779"/>
      <c r="H78" s="779"/>
      <c r="I78" s="779"/>
      <c r="J78" s="324"/>
      <c r="K78" s="781"/>
      <c r="L78" s="781"/>
      <c r="M78" s="780" t="str">
        <f t="shared" si="6"/>
        <v/>
      </c>
      <c r="N78" s="780"/>
      <c r="O78" s="308"/>
      <c r="P78"/>
      <c r="Q78" s="303">
        <v>21</v>
      </c>
      <c r="R78" s="779"/>
      <c r="S78" s="779"/>
      <c r="T78" s="779"/>
      <c r="U78" s="779"/>
      <c r="V78" s="779"/>
      <c r="W78" s="779"/>
      <c r="X78" s="779"/>
      <c r="Y78" s="324"/>
      <c r="Z78" s="781"/>
      <c r="AA78" s="781"/>
      <c r="AB78" s="780" t="str">
        <f t="shared" si="7"/>
        <v/>
      </c>
      <c r="AC78" s="780"/>
      <c r="AD78" s="308"/>
      <c r="AF78" s="303">
        <v>21</v>
      </c>
      <c r="AG78" s="779"/>
      <c r="AH78" s="779"/>
      <c r="AI78" s="779"/>
      <c r="AJ78" s="779"/>
      <c r="AK78" s="779"/>
      <c r="AL78" s="779"/>
      <c r="AM78" s="779"/>
      <c r="AN78" s="324"/>
      <c r="AO78" s="781"/>
      <c r="AP78" s="781"/>
      <c r="AQ78" s="780" t="str">
        <f t="shared" si="8"/>
        <v/>
      </c>
      <c r="AR78" s="780"/>
      <c r="AS78" s="308"/>
      <c r="AT78"/>
      <c r="AU78"/>
      <c r="AV78"/>
      <c r="AW78"/>
    </row>
    <row r="79" spans="2:49" s="112" customFormat="1" ht="15">
      <c r="B79" s="303">
        <v>22</v>
      </c>
      <c r="C79" s="779"/>
      <c r="D79" s="779"/>
      <c r="E79" s="779"/>
      <c r="F79" s="779"/>
      <c r="G79" s="779"/>
      <c r="H79" s="779"/>
      <c r="I79" s="779"/>
      <c r="J79" s="324"/>
      <c r="K79" s="781"/>
      <c r="L79" s="781"/>
      <c r="M79" s="780" t="str">
        <f t="shared" si="6"/>
        <v/>
      </c>
      <c r="N79" s="780"/>
      <c r="O79" s="308"/>
      <c r="P79"/>
      <c r="Q79" s="303">
        <v>22</v>
      </c>
      <c r="R79" s="779"/>
      <c r="S79" s="779"/>
      <c r="T79" s="779"/>
      <c r="U79" s="779"/>
      <c r="V79" s="779"/>
      <c r="W79" s="779"/>
      <c r="X79" s="779"/>
      <c r="Y79" s="324"/>
      <c r="Z79" s="781"/>
      <c r="AA79" s="781"/>
      <c r="AB79" s="780" t="str">
        <f t="shared" si="7"/>
        <v/>
      </c>
      <c r="AC79" s="780"/>
      <c r="AD79" s="308"/>
      <c r="AF79" s="303">
        <v>22</v>
      </c>
      <c r="AG79" s="779"/>
      <c r="AH79" s="779"/>
      <c r="AI79" s="779"/>
      <c r="AJ79" s="779"/>
      <c r="AK79" s="779"/>
      <c r="AL79" s="779"/>
      <c r="AM79" s="779"/>
      <c r="AN79" s="324"/>
      <c r="AO79" s="781"/>
      <c r="AP79" s="781"/>
      <c r="AQ79" s="780" t="str">
        <f t="shared" si="8"/>
        <v/>
      </c>
      <c r="AR79" s="780"/>
      <c r="AS79" s="308"/>
      <c r="AT79"/>
      <c r="AU79"/>
      <c r="AV79"/>
      <c r="AW79"/>
    </row>
    <row r="80" spans="2:49" s="112" customFormat="1" ht="15">
      <c r="B80" s="303">
        <v>23</v>
      </c>
      <c r="C80" s="779"/>
      <c r="D80" s="779"/>
      <c r="E80" s="779"/>
      <c r="F80" s="779"/>
      <c r="G80" s="779"/>
      <c r="H80" s="779"/>
      <c r="I80" s="779"/>
      <c r="J80" s="324"/>
      <c r="K80" s="781"/>
      <c r="L80" s="781"/>
      <c r="M80" s="780" t="str">
        <f t="shared" si="6"/>
        <v/>
      </c>
      <c r="N80" s="780"/>
      <c r="O80" s="308"/>
      <c r="P80"/>
      <c r="Q80" s="303">
        <v>23</v>
      </c>
      <c r="R80" s="779"/>
      <c r="S80" s="779"/>
      <c r="T80" s="779"/>
      <c r="U80" s="779"/>
      <c r="V80" s="779"/>
      <c r="W80" s="779"/>
      <c r="X80" s="779"/>
      <c r="Y80" s="324"/>
      <c r="Z80" s="781"/>
      <c r="AA80" s="781"/>
      <c r="AB80" s="780" t="str">
        <f t="shared" si="7"/>
        <v/>
      </c>
      <c r="AC80" s="780"/>
      <c r="AD80" s="308"/>
      <c r="AF80" s="303">
        <v>23</v>
      </c>
      <c r="AG80" s="779"/>
      <c r="AH80" s="779"/>
      <c r="AI80" s="779"/>
      <c r="AJ80" s="779"/>
      <c r="AK80" s="779"/>
      <c r="AL80" s="779"/>
      <c r="AM80" s="779"/>
      <c r="AN80" s="324"/>
      <c r="AO80" s="781"/>
      <c r="AP80" s="781"/>
      <c r="AQ80" s="780" t="str">
        <f t="shared" si="8"/>
        <v/>
      </c>
      <c r="AR80" s="780"/>
      <c r="AS80" s="308"/>
      <c r="AT80"/>
      <c r="AU80"/>
      <c r="AV80"/>
      <c r="AW80"/>
    </row>
    <row r="81" spans="2:49" s="112" customFormat="1" ht="15">
      <c r="B81" s="303">
        <v>24</v>
      </c>
      <c r="C81" s="779"/>
      <c r="D81" s="779"/>
      <c r="E81" s="779"/>
      <c r="F81" s="779"/>
      <c r="G81" s="779"/>
      <c r="H81" s="779"/>
      <c r="I81" s="779"/>
      <c r="J81" s="324"/>
      <c r="K81" s="781"/>
      <c r="L81" s="781"/>
      <c r="M81" s="780" t="str">
        <f t="shared" si="6"/>
        <v/>
      </c>
      <c r="N81" s="780"/>
      <c r="O81" s="308"/>
      <c r="P81"/>
      <c r="Q81" s="303">
        <v>24</v>
      </c>
      <c r="R81" s="779"/>
      <c r="S81" s="779"/>
      <c r="T81" s="779"/>
      <c r="U81" s="779"/>
      <c r="V81" s="779"/>
      <c r="W81" s="779"/>
      <c r="X81" s="779"/>
      <c r="Y81" s="324"/>
      <c r="Z81" s="781"/>
      <c r="AA81" s="781"/>
      <c r="AB81" s="780" t="str">
        <f t="shared" si="7"/>
        <v/>
      </c>
      <c r="AC81" s="780"/>
      <c r="AD81" s="308"/>
      <c r="AF81" s="303">
        <v>24</v>
      </c>
      <c r="AG81" s="779"/>
      <c r="AH81" s="779"/>
      <c r="AI81" s="779"/>
      <c r="AJ81" s="779"/>
      <c r="AK81" s="779"/>
      <c r="AL81" s="779"/>
      <c r="AM81" s="779"/>
      <c r="AN81" s="324"/>
      <c r="AO81" s="781"/>
      <c r="AP81" s="781"/>
      <c r="AQ81" s="780" t="str">
        <f t="shared" si="8"/>
        <v/>
      </c>
      <c r="AR81" s="780"/>
      <c r="AS81" s="308"/>
      <c r="AT81"/>
      <c r="AU81"/>
      <c r="AV81"/>
      <c r="AW81"/>
    </row>
    <row r="82" spans="2:49" s="112" customFormat="1" ht="15">
      <c r="B82" s="303">
        <v>25</v>
      </c>
      <c r="C82" s="779"/>
      <c r="D82" s="779"/>
      <c r="E82" s="779"/>
      <c r="F82" s="779"/>
      <c r="G82" s="779"/>
      <c r="H82" s="779"/>
      <c r="I82" s="779"/>
      <c r="J82" s="324"/>
      <c r="K82" s="781"/>
      <c r="L82" s="781"/>
      <c r="M82" s="780" t="str">
        <f t="shared" ref="M82:M87" si="9">IF(AND(ISBLANK(C82),ISBLANK(J82),ISBLANK(K82)),"",(IF(OR(ISBLANK(C82),ISBLANK(J82),ISBLANK(K82)),"Enter Info",(J82*K82))))</f>
        <v/>
      </c>
      <c r="N82" s="780"/>
      <c r="O82" s="308"/>
      <c r="P82"/>
      <c r="Q82" s="303">
        <v>25</v>
      </c>
      <c r="R82" s="779"/>
      <c r="S82" s="779"/>
      <c r="T82" s="779"/>
      <c r="U82" s="779"/>
      <c r="V82" s="779"/>
      <c r="W82" s="779"/>
      <c r="X82" s="779"/>
      <c r="Y82" s="324"/>
      <c r="Z82" s="781"/>
      <c r="AA82" s="781"/>
      <c r="AB82" s="780" t="str">
        <f t="shared" si="7"/>
        <v/>
      </c>
      <c r="AC82" s="780"/>
      <c r="AD82" s="308"/>
      <c r="AF82" s="303">
        <v>25</v>
      </c>
      <c r="AG82" s="779"/>
      <c r="AH82" s="779"/>
      <c r="AI82" s="779"/>
      <c r="AJ82" s="779"/>
      <c r="AK82" s="779"/>
      <c r="AL82" s="779"/>
      <c r="AM82" s="779"/>
      <c r="AN82" s="324"/>
      <c r="AO82" s="781"/>
      <c r="AP82" s="781"/>
      <c r="AQ82" s="780" t="str">
        <f t="shared" si="8"/>
        <v/>
      </c>
      <c r="AR82" s="780"/>
      <c r="AS82" s="308"/>
      <c r="AT82"/>
      <c r="AU82"/>
      <c r="AV82"/>
      <c r="AW82"/>
    </row>
    <row r="83" spans="2:49" s="112" customFormat="1" ht="15">
      <c r="B83" s="303">
        <v>26</v>
      </c>
      <c r="C83" s="779"/>
      <c r="D83" s="779"/>
      <c r="E83" s="779"/>
      <c r="F83" s="779"/>
      <c r="G83" s="779"/>
      <c r="H83" s="779"/>
      <c r="I83" s="779"/>
      <c r="J83" s="324"/>
      <c r="K83" s="781"/>
      <c r="L83" s="781"/>
      <c r="M83" s="780" t="str">
        <f t="shared" si="9"/>
        <v/>
      </c>
      <c r="N83" s="780"/>
      <c r="O83" s="308"/>
      <c r="P83"/>
      <c r="Q83" s="303">
        <v>26</v>
      </c>
      <c r="R83" s="779"/>
      <c r="S83" s="779"/>
      <c r="T83" s="779"/>
      <c r="U83" s="779"/>
      <c r="V83" s="779"/>
      <c r="W83" s="779"/>
      <c r="X83" s="779"/>
      <c r="Y83" s="324"/>
      <c r="Z83" s="781"/>
      <c r="AA83" s="781"/>
      <c r="AB83" s="780" t="str">
        <f t="shared" si="7"/>
        <v/>
      </c>
      <c r="AC83" s="780"/>
      <c r="AD83" s="308"/>
      <c r="AF83" s="303">
        <v>26</v>
      </c>
      <c r="AG83" s="779"/>
      <c r="AH83" s="779"/>
      <c r="AI83" s="779"/>
      <c r="AJ83" s="779"/>
      <c r="AK83" s="779"/>
      <c r="AL83" s="779"/>
      <c r="AM83" s="779"/>
      <c r="AN83" s="324"/>
      <c r="AO83" s="781"/>
      <c r="AP83" s="781"/>
      <c r="AQ83" s="780" t="str">
        <f t="shared" si="8"/>
        <v/>
      </c>
      <c r="AR83" s="780"/>
      <c r="AS83" s="308"/>
      <c r="AT83"/>
      <c r="AU83"/>
      <c r="AV83"/>
      <c r="AW83"/>
    </row>
    <row r="84" spans="2:49" s="112" customFormat="1" ht="15">
      <c r="B84" s="303">
        <v>27</v>
      </c>
      <c r="C84" s="779"/>
      <c r="D84" s="779"/>
      <c r="E84" s="779"/>
      <c r="F84" s="779"/>
      <c r="G84" s="779"/>
      <c r="H84" s="779"/>
      <c r="I84" s="779"/>
      <c r="J84" s="324"/>
      <c r="K84" s="781"/>
      <c r="L84" s="781"/>
      <c r="M84" s="780" t="str">
        <f t="shared" si="9"/>
        <v/>
      </c>
      <c r="N84" s="780"/>
      <c r="O84" s="308"/>
      <c r="P84"/>
      <c r="Q84" s="303">
        <v>27</v>
      </c>
      <c r="R84" s="779"/>
      <c r="S84" s="779"/>
      <c r="T84" s="779"/>
      <c r="U84" s="779"/>
      <c r="V84" s="779"/>
      <c r="W84" s="779"/>
      <c r="X84" s="779"/>
      <c r="Y84" s="324"/>
      <c r="Z84" s="781"/>
      <c r="AA84" s="781"/>
      <c r="AB84" s="780" t="str">
        <f t="shared" si="7"/>
        <v/>
      </c>
      <c r="AC84" s="780"/>
      <c r="AD84" s="308"/>
      <c r="AF84" s="303">
        <v>27</v>
      </c>
      <c r="AG84" s="779"/>
      <c r="AH84" s="779"/>
      <c r="AI84" s="779"/>
      <c r="AJ84" s="779"/>
      <c r="AK84" s="779"/>
      <c r="AL84" s="779"/>
      <c r="AM84" s="779"/>
      <c r="AN84" s="324"/>
      <c r="AO84" s="781"/>
      <c r="AP84" s="781"/>
      <c r="AQ84" s="780" t="str">
        <f t="shared" si="8"/>
        <v/>
      </c>
      <c r="AR84" s="780"/>
      <c r="AS84" s="308"/>
      <c r="AT84"/>
      <c r="AU84"/>
      <c r="AV84"/>
      <c r="AW84"/>
    </row>
    <row r="85" spans="2:49" s="112" customFormat="1" ht="15">
      <c r="B85" s="303">
        <v>28</v>
      </c>
      <c r="C85" s="779"/>
      <c r="D85" s="779"/>
      <c r="E85" s="779"/>
      <c r="F85" s="779"/>
      <c r="G85" s="779"/>
      <c r="H85" s="779"/>
      <c r="I85" s="779"/>
      <c r="J85" s="324"/>
      <c r="K85" s="781"/>
      <c r="L85" s="781"/>
      <c r="M85" s="780" t="str">
        <f t="shared" si="9"/>
        <v/>
      </c>
      <c r="N85" s="780"/>
      <c r="O85" s="308"/>
      <c r="P85"/>
      <c r="Q85" s="303">
        <v>28</v>
      </c>
      <c r="R85" s="779"/>
      <c r="S85" s="779"/>
      <c r="T85" s="779"/>
      <c r="U85" s="779"/>
      <c r="V85" s="779"/>
      <c r="W85" s="779"/>
      <c r="X85" s="779"/>
      <c r="Y85" s="324"/>
      <c r="Z85" s="781"/>
      <c r="AA85" s="781"/>
      <c r="AB85" s="780" t="str">
        <f t="shared" si="7"/>
        <v/>
      </c>
      <c r="AC85" s="780"/>
      <c r="AD85" s="308"/>
      <c r="AF85" s="303">
        <v>28</v>
      </c>
      <c r="AG85" s="779"/>
      <c r="AH85" s="779"/>
      <c r="AI85" s="779"/>
      <c r="AJ85" s="779"/>
      <c r="AK85" s="779"/>
      <c r="AL85" s="779"/>
      <c r="AM85" s="779"/>
      <c r="AN85" s="324"/>
      <c r="AO85" s="781"/>
      <c r="AP85" s="781"/>
      <c r="AQ85" s="780" t="str">
        <f t="shared" si="8"/>
        <v/>
      </c>
      <c r="AR85" s="780"/>
      <c r="AS85" s="308"/>
      <c r="AT85"/>
      <c r="AU85"/>
      <c r="AV85"/>
      <c r="AW85"/>
    </row>
    <row r="86" spans="2:49" s="112" customFormat="1" ht="15">
      <c r="B86" s="303">
        <v>29</v>
      </c>
      <c r="C86" s="779"/>
      <c r="D86" s="779"/>
      <c r="E86" s="779"/>
      <c r="F86" s="779"/>
      <c r="G86" s="779"/>
      <c r="H86" s="779"/>
      <c r="I86" s="779"/>
      <c r="J86" s="324"/>
      <c r="K86" s="781"/>
      <c r="L86" s="781"/>
      <c r="M86" s="780" t="str">
        <f t="shared" si="9"/>
        <v/>
      </c>
      <c r="N86" s="780"/>
      <c r="O86" s="308"/>
      <c r="P86"/>
      <c r="Q86" s="303">
        <v>29</v>
      </c>
      <c r="R86" s="779"/>
      <c r="S86" s="779"/>
      <c r="T86" s="779"/>
      <c r="U86" s="779"/>
      <c r="V86" s="779"/>
      <c r="W86" s="779"/>
      <c r="X86" s="779"/>
      <c r="Y86" s="324"/>
      <c r="Z86" s="781"/>
      <c r="AA86" s="781"/>
      <c r="AB86" s="780" t="str">
        <f t="shared" si="7"/>
        <v/>
      </c>
      <c r="AC86" s="780"/>
      <c r="AD86" s="308"/>
      <c r="AF86" s="303">
        <v>29</v>
      </c>
      <c r="AG86" s="779"/>
      <c r="AH86" s="779"/>
      <c r="AI86" s="779"/>
      <c r="AJ86" s="779"/>
      <c r="AK86" s="779"/>
      <c r="AL86" s="779"/>
      <c r="AM86" s="779"/>
      <c r="AN86" s="324"/>
      <c r="AO86" s="781"/>
      <c r="AP86" s="781"/>
      <c r="AQ86" s="780" t="str">
        <f t="shared" si="8"/>
        <v/>
      </c>
      <c r="AR86" s="780"/>
      <c r="AS86" s="308"/>
      <c r="AT86"/>
      <c r="AU86"/>
      <c r="AV86"/>
      <c r="AW86"/>
    </row>
    <row r="87" spans="2:49" s="112" customFormat="1" ht="15">
      <c r="B87" s="303">
        <v>30</v>
      </c>
      <c r="C87" s="779"/>
      <c r="D87" s="779"/>
      <c r="E87" s="779"/>
      <c r="F87" s="779"/>
      <c r="G87" s="779"/>
      <c r="H87" s="779"/>
      <c r="I87" s="779"/>
      <c r="J87" s="324"/>
      <c r="K87" s="781"/>
      <c r="L87" s="781"/>
      <c r="M87" s="780" t="str">
        <f t="shared" si="9"/>
        <v/>
      </c>
      <c r="N87" s="780"/>
      <c r="O87" s="308"/>
      <c r="P87"/>
      <c r="Q87" s="303">
        <v>30</v>
      </c>
      <c r="R87" s="779"/>
      <c r="S87" s="779"/>
      <c r="T87" s="779"/>
      <c r="U87" s="779"/>
      <c r="V87" s="779"/>
      <c r="W87" s="779"/>
      <c r="X87" s="779"/>
      <c r="Y87" s="324"/>
      <c r="Z87" s="781"/>
      <c r="AA87" s="781"/>
      <c r="AB87" s="780" t="str">
        <f t="shared" si="7"/>
        <v/>
      </c>
      <c r="AC87" s="780"/>
      <c r="AD87" s="308"/>
      <c r="AF87" s="303">
        <v>30</v>
      </c>
      <c r="AG87" s="779"/>
      <c r="AH87" s="779"/>
      <c r="AI87" s="779"/>
      <c r="AJ87" s="779"/>
      <c r="AK87" s="779"/>
      <c r="AL87" s="779"/>
      <c r="AM87" s="779"/>
      <c r="AN87" s="324"/>
      <c r="AO87" s="781"/>
      <c r="AP87" s="781"/>
      <c r="AQ87" s="780" t="str">
        <f t="shared" si="8"/>
        <v/>
      </c>
      <c r="AR87" s="780"/>
      <c r="AS87" s="308"/>
      <c r="AT87"/>
      <c r="AU87"/>
      <c r="AV87"/>
      <c r="AW87"/>
    </row>
    <row r="88" spans="2:49" s="112" customFormat="1" ht="15">
      <c r="B88" s="303"/>
      <c r="C88" s="309"/>
      <c r="D88" s="309"/>
      <c r="E88" s="309"/>
      <c r="F88" s="309"/>
      <c r="G88" s="309"/>
      <c r="H88" s="309"/>
      <c r="I88" s="309"/>
      <c r="J88" s="309"/>
      <c r="K88" s="309"/>
      <c r="L88" s="323" t="s">
        <v>944</v>
      </c>
      <c r="M88" s="780">
        <f>SUM(M58:M87)</f>
        <v>0</v>
      </c>
      <c r="N88" s="780"/>
      <c r="O88" s="308"/>
      <c r="P88"/>
      <c r="Q88" s="303"/>
      <c r="R88" s="309"/>
      <c r="S88" s="309"/>
      <c r="T88" s="309"/>
      <c r="U88" s="309"/>
      <c r="V88" s="309"/>
      <c r="W88" s="309"/>
      <c r="X88" s="309"/>
      <c r="Y88" s="309"/>
      <c r="Z88" s="309"/>
      <c r="AA88" s="323" t="s">
        <v>944</v>
      </c>
      <c r="AB88" s="780">
        <f>SUM(AB58:AB87)</f>
        <v>0</v>
      </c>
      <c r="AC88" s="780"/>
      <c r="AD88" s="308"/>
      <c r="AF88" s="303"/>
      <c r="AG88" s="309"/>
      <c r="AH88" s="309"/>
      <c r="AI88" s="309"/>
      <c r="AJ88" s="309"/>
      <c r="AK88" s="309"/>
      <c r="AL88" s="309"/>
      <c r="AM88" s="309"/>
      <c r="AN88" s="309"/>
      <c r="AO88" s="309"/>
      <c r="AP88" s="323" t="s">
        <v>944</v>
      </c>
      <c r="AQ88" s="780">
        <f>SUM(AQ58:AQ87)</f>
        <v>0</v>
      </c>
      <c r="AR88" s="780"/>
      <c r="AS88" s="308"/>
      <c r="AT88"/>
      <c r="AU88"/>
      <c r="AV88"/>
      <c r="AW88"/>
    </row>
    <row r="89" spans="2:49" s="112" customFormat="1" ht="15">
      <c r="B89" s="310"/>
      <c r="C89" s="307"/>
      <c r="D89" s="307"/>
      <c r="E89" s="307"/>
      <c r="F89" s="307"/>
      <c r="G89" s="307"/>
      <c r="H89" s="307"/>
      <c r="I89" s="307"/>
      <c r="J89" s="307"/>
      <c r="K89" s="307"/>
      <c r="L89" s="307"/>
      <c r="M89" s="307"/>
      <c r="N89" s="307"/>
      <c r="O89" s="312"/>
      <c r="P89"/>
      <c r="Q89" s="310"/>
      <c r="R89" s="307"/>
      <c r="S89" s="307"/>
      <c r="T89" s="307"/>
      <c r="U89" s="307"/>
      <c r="V89" s="307"/>
      <c r="W89" s="307"/>
      <c r="X89" s="307"/>
      <c r="Y89" s="307"/>
      <c r="Z89" s="307"/>
      <c r="AA89" s="307"/>
      <c r="AB89" s="307"/>
      <c r="AC89" s="307"/>
      <c r="AD89" s="312"/>
      <c r="AF89" s="310"/>
      <c r="AG89" s="307"/>
      <c r="AH89" s="307"/>
      <c r="AI89" s="307"/>
      <c r="AJ89" s="307"/>
      <c r="AK89" s="307"/>
      <c r="AL89" s="311"/>
      <c r="AM89" s="311"/>
      <c r="AN89" s="311"/>
      <c r="AO89" s="311"/>
      <c r="AP89" s="311"/>
      <c r="AQ89" s="311"/>
      <c r="AR89" s="311"/>
      <c r="AS89" s="312"/>
      <c r="AT89"/>
      <c r="AU89"/>
      <c r="AV89"/>
      <c r="AW89"/>
    </row>
    <row r="90" spans="2:49" s="112" customFormat="1" ht="15">
      <c r="AT90"/>
      <c r="AU90"/>
      <c r="AV90"/>
      <c r="AW90"/>
    </row>
    <row r="107" spans="2:49" customFormat="1" ht="14.25" hidden="1" customHeight="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2:49" customFormat="1" ht="14.25" hidden="1" customHeight="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2:49" customFormat="1" ht="14.25" hidden="1" customHeight="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2:49" customFormat="1" ht="14.25" hidden="1" customHeight="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2:49" customFormat="1" ht="14.25" hidden="1" customHeight="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2:49" customFormat="1" ht="14.25" hidden="1" customHeight="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2:49" customFormat="1" ht="14.25" hidden="1" customHeight="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row>
    <row r="114" spans="2:49" customFormat="1" ht="14.25" hidden="1" customHeight="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row>
    <row r="115" spans="2:49" customFormat="1" ht="14.25" hidden="1" customHeight="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row>
    <row r="116" spans="2:49" customFormat="1" ht="14.25" hidden="1" customHeight="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row>
    <row r="117" spans="2:49" customFormat="1" ht="14.25" hidden="1" customHeight="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row>
    <row r="118" spans="2:49" customFormat="1" ht="14.25" hidden="1" customHeight="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row>
    <row r="119" spans="2:49" customFormat="1" ht="14.25" hidden="1" customHeight="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row>
    <row r="120" spans="2:49" customFormat="1" ht="14.25" hidden="1" customHeight="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row>
    <row r="121" spans="2:49" customFormat="1" ht="14.25" hidden="1" customHeight="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row>
    <row r="122" spans="2:49" customFormat="1" ht="14.25" hidden="1" customHeight="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row>
    <row r="123" spans="2:49" customFormat="1" ht="14.25" hidden="1" customHeight="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row>
    <row r="124" spans="2:49" customFormat="1" ht="14.25" hidden="1" customHeight="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row>
    <row r="125" spans="2:49" customFormat="1" ht="14.25" hidden="1" customHeight="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row>
    <row r="126" spans="2:49" customFormat="1" ht="14.25" hidden="1" customHeight="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row>
    <row r="200" spans="1:49" ht="14.2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4.2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4.2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14" spans="1:44" ht="14.25" hidden="1" customHeight="1">
      <c r="A214"/>
      <c r="B214"/>
      <c r="C214"/>
      <c r="AR214" s="219"/>
    </row>
  </sheetData>
  <sheetProtection algorithmName="SHA-512" hashValue="k0488ud+sEY6Fa0OJc97xw4xz4ryrwM3M69Ucv85ognsoLE92nJLfAkxb2aqRPnvp9ja5fxodPKxKIvRzzjbtg==" saltValue="c48kqleTqqKDjbIl/BOILg==" spinCount="100000" sheet="1" objects="1" scenarios="1" selectLockedCells="1"/>
  <mergeCells count="585">
    <mergeCell ref="AO81:AP81"/>
    <mergeCell ref="AQ81:AR81"/>
    <mergeCell ref="AG78:AM78"/>
    <mergeCell ref="A8:E8"/>
    <mergeCell ref="AQ8:AU8"/>
    <mergeCell ref="A5:E6"/>
    <mergeCell ref="AQ5:AU6"/>
    <mergeCell ref="A7:E7"/>
    <mergeCell ref="AQ7:AU7"/>
    <mergeCell ref="AQ25:AR25"/>
    <mergeCell ref="AQ26:AR26"/>
    <mergeCell ref="AQ27:AR27"/>
    <mergeCell ref="AQ28:AR28"/>
    <mergeCell ref="AQ29:AR29"/>
    <mergeCell ref="AQ30:AR30"/>
    <mergeCell ref="AO45:AP45"/>
    <mergeCell ref="AO46:AP46"/>
    <mergeCell ref="AO31:AP31"/>
    <mergeCell ref="AO32:AP32"/>
    <mergeCell ref="AO48:AP48"/>
    <mergeCell ref="AO49:AP49"/>
    <mergeCell ref="AQ20:AR20"/>
    <mergeCell ref="AQ21:AR21"/>
    <mergeCell ref="AQ22:AR22"/>
    <mergeCell ref="M200:AG201"/>
    <mergeCell ref="AQ49:AR49"/>
    <mergeCell ref="AQ50:AR50"/>
    <mergeCell ref="AL16:AR16"/>
    <mergeCell ref="AG18:AM19"/>
    <mergeCell ref="AO18:AP19"/>
    <mergeCell ref="AQ18:AR19"/>
    <mergeCell ref="AQ43:AR43"/>
    <mergeCell ref="AQ44:AR44"/>
    <mergeCell ref="AQ45:AR45"/>
    <mergeCell ref="AQ46:AR46"/>
    <mergeCell ref="AQ47:AR47"/>
    <mergeCell ref="AQ48:AR48"/>
    <mergeCell ref="AQ37:AR37"/>
    <mergeCell ref="AQ38:AR38"/>
    <mergeCell ref="AQ39:AR39"/>
    <mergeCell ref="AQ40:AR40"/>
    <mergeCell ref="AQ41:AR41"/>
    <mergeCell ref="AQ42:AR42"/>
    <mergeCell ref="AQ31:AR31"/>
    <mergeCell ref="AQ32:AR32"/>
    <mergeCell ref="AQ33:AR33"/>
    <mergeCell ref="AQ34:AR34"/>
    <mergeCell ref="AQ35:AR35"/>
    <mergeCell ref="AQ23:AR23"/>
    <mergeCell ref="AQ24:AR24"/>
    <mergeCell ref="AO39:AP39"/>
    <mergeCell ref="AO40:AP40"/>
    <mergeCell ref="AO41:AP41"/>
    <mergeCell ref="AO42:AP42"/>
    <mergeCell ref="AO43:AP43"/>
    <mergeCell ref="AO44:AP44"/>
    <mergeCell ref="AO33:AP33"/>
    <mergeCell ref="AO34:AP34"/>
    <mergeCell ref="AO35:AP35"/>
    <mergeCell ref="AO36:AP36"/>
    <mergeCell ref="AO37:AP37"/>
    <mergeCell ref="AO38:AP38"/>
    <mergeCell ref="AO27:AP27"/>
    <mergeCell ref="AO28:AP28"/>
    <mergeCell ref="AO29:AP29"/>
    <mergeCell ref="AO30:AP30"/>
    <mergeCell ref="AQ36:AR36"/>
    <mergeCell ref="AG48:AM48"/>
    <mergeCell ref="AG49:AM49"/>
    <mergeCell ref="AO20:AP20"/>
    <mergeCell ref="AO21:AP21"/>
    <mergeCell ref="AO22:AP22"/>
    <mergeCell ref="AO23:AP23"/>
    <mergeCell ref="AO24:AP24"/>
    <mergeCell ref="AO25:AP25"/>
    <mergeCell ref="AO26:AP26"/>
    <mergeCell ref="AG41:AM41"/>
    <mergeCell ref="AG42:AM42"/>
    <mergeCell ref="AG43:AM43"/>
    <mergeCell ref="AG44:AM44"/>
    <mergeCell ref="AG45:AM45"/>
    <mergeCell ref="AG46:AM46"/>
    <mergeCell ref="AG35:AM35"/>
    <mergeCell ref="AG36:AM36"/>
    <mergeCell ref="AG37:AM37"/>
    <mergeCell ref="AG38:AM38"/>
    <mergeCell ref="AG39:AM39"/>
    <mergeCell ref="AG40:AM40"/>
    <mergeCell ref="AG29:AM29"/>
    <mergeCell ref="AG30:AM30"/>
    <mergeCell ref="AO47:AP47"/>
    <mergeCell ref="AB43:AC43"/>
    <mergeCell ref="AB44:AC44"/>
    <mergeCell ref="Z18:AA19"/>
    <mergeCell ref="AB18:AC19"/>
    <mergeCell ref="Z28:AA28"/>
    <mergeCell ref="Z47:AA47"/>
    <mergeCell ref="Z32:AA32"/>
    <mergeCell ref="Z33:AA33"/>
    <mergeCell ref="AG31:AM31"/>
    <mergeCell ref="AG32:AM32"/>
    <mergeCell ref="AG33:AM33"/>
    <mergeCell ref="AG34:AM34"/>
    <mergeCell ref="AG23:AM23"/>
    <mergeCell ref="AG24:AM24"/>
    <mergeCell ref="AG25:AM25"/>
    <mergeCell ref="AG26:AM26"/>
    <mergeCell ref="AG27:AM27"/>
    <mergeCell ref="AG28:AM28"/>
    <mergeCell ref="AG47:AM47"/>
    <mergeCell ref="AB46:AC46"/>
    <mergeCell ref="AB47:AC47"/>
    <mergeCell ref="AB33:AC33"/>
    <mergeCell ref="AB34:AC34"/>
    <mergeCell ref="AB35:AC35"/>
    <mergeCell ref="Z21:AA21"/>
    <mergeCell ref="Z22:AA22"/>
    <mergeCell ref="Z23:AA23"/>
    <mergeCell ref="Z24:AA24"/>
    <mergeCell ref="Z25:AA25"/>
    <mergeCell ref="Z26:AA26"/>
    <mergeCell ref="Z27:AA27"/>
    <mergeCell ref="AB29:AC29"/>
    <mergeCell ref="AB30:AC30"/>
    <mergeCell ref="AB27:AC27"/>
    <mergeCell ref="AB28:AC28"/>
    <mergeCell ref="AB39:AC39"/>
    <mergeCell ref="AB40:AC40"/>
    <mergeCell ref="AB41:AC41"/>
    <mergeCell ref="AB42:AC42"/>
    <mergeCell ref="Z34:AA34"/>
    <mergeCell ref="R34:X34"/>
    <mergeCell ref="R35:X35"/>
    <mergeCell ref="R36:X36"/>
    <mergeCell ref="R25:X25"/>
    <mergeCell ref="R26:X26"/>
    <mergeCell ref="R27:X27"/>
    <mergeCell ref="R28:X28"/>
    <mergeCell ref="R29:X29"/>
    <mergeCell ref="AB31:AC31"/>
    <mergeCell ref="AB32:AC32"/>
    <mergeCell ref="AB36:AC36"/>
    <mergeCell ref="AB37:AC37"/>
    <mergeCell ref="AB38:AC38"/>
    <mergeCell ref="R32:X32"/>
    <mergeCell ref="R30:X30"/>
    <mergeCell ref="R31:X31"/>
    <mergeCell ref="R33:X33"/>
    <mergeCell ref="AG21:AM21"/>
    <mergeCell ref="AG22:AM22"/>
    <mergeCell ref="AB45:AC45"/>
    <mergeCell ref="Z43:AA43"/>
    <mergeCell ref="Z44:AA44"/>
    <mergeCell ref="Z45:AA45"/>
    <mergeCell ref="Z46:AA46"/>
    <mergeCell ref="Z35:AA35"/>
    <mergeCell ref="Z36:AA36"/>
    <mergeCell ref="Z37:AA37"/>
    <mergeCell ref="Z38:AA38"/>
    <mergeCell ref="Z39:AA39"/>
    <mergeCell ref="Z40:AA40"/>
    <mergeCell ref="AB21:AC21"/>
    <mergeCell ref="AB22:AC22"/>
    <mergeCell ref="AB23:AC23"/>
    <mergeCell ref="AB24:AC24"/>
    <mergeCell ref="AB25:AC25"/>
    <mergeCell ref="AB26:AC26"/>
    <mergeCell ref="Z41:AA41"/>
    <mergeCell ref="Z42:AA42"/>
    <mergeCell ref="Z29:AA29"/>
    <mergeCell ref="Z30:AA30"/>
    <mergeCell ref="Z31:AA31"/>
    <mergeCell ref="R44:X44"/>
    <mergeCell ref="R45:X45"/>
    <mergeCell ref="R46:X46"/>
    <mergeCell ref="R47:X47"/>
    <mergeCell ref="R48:X48"/>
    <mergeCell ref="R37:X37"/>
    <mergeCell ref="R38:X38"/>
    <mergeCell ref="R39:X39"/>
    <mergeCell ref="R40:X40"/>
    <mergeCell ref="R41:X41"/>
    <mergeCell ref="R42:X42"/>
    <mergeCell ref="R21:X21"/>
    <mergeCell ref="R22:X22"/>
    <mergeCell ref="R23:X23"/>
    <mergeCell ref="R24:X24"/>
    <mergeCell ref="R18:X19"/>
    <mergeCell ref="M50:N50"/>
    <mergeCell ref="C18:I19"/>
    <mergeCell ref="K18:L19"/>
    <mergeCell ref="M18:N19"/>
    <mergeCell ref="M44:N44"/>
    <mergeCell ref="M45:N45"/>
    <mergeCell ref="M46:N46"/>
    <mergeCell ref="M47:N47"/>
    <mergeCell ref="M48:N48"/>
    <mergeCell ref="M49:N49"/>
    <mergeCell ref="M38:N38"/>
    <mergeCell ref="M39:N39"/>
    <mergeCell ref="M40:N40"/>
    <mergeCell ref="M41:N41"/>
    <mergeCell ref="M42:N42"/>
    <mergeCell ref="M43:N43"/>
    <mergeCell ref="M32:N32"/>
    <mergeCell ref="R49:X49"/>
    <mergeCell ref="R43:X43"/>
    <mergeCell ref="M33:N33"/>
    <mergeCell ref="M34:N34"/>
    <mergeCell ref="M35:N35"/>
    <mergeCell ref="M36:N36"/>
    <mergeCell ref="M37:N37"/>
    <mergeCell ref="M26:N26"/>
    <mergeCell ref="M27:N27"/>
    <mergeCell ref="M28:N28"/>
    <mergeCell ref="M29:N29"/>
    <mergeCell ref="M30:N30"/>
    <mergeCell ref="M31:N31"/>
    <mergeCell ref="K47:L47"/>
    <mergeCell ref="K48:L48"/>
    <mergeCell ref="K49:L49"/>
    <mergeCell ref="K38:L38"/>
    <mergeCell ref="K39:L39"/>
    <mergeCell ref="K40:L40"/>
    <mergeCell ref="K41:L41"/>
    <mergeCell ref="K42:L42"/>
    <mergeCell ref="K43:L43"/>
    <mergeCell ref="K44:L44"/>
    <mergeCell ref="K45:L45"/>
    <mergeCell ref="K46:L46"/>
    <mergeCell ref="AQ88:AR88"/>
    <mergeCell ref="AL54:AR54"/>
    <mergeCell ref="AG86:AM86"/>
    <mergeCell ref="AO86:AP86"/>
    <mergeCell ref="AQ86:AR86"/>
    <mergeCell ref="AG87:AM87"/>
    <mergeCell ref="AO87:AP87"/>
    <mergeCell ref="AQ87:AR87"/>
    <mergeCell ref="AG84:AM84"/>
    <mergeCell ref="AO84:AP84"/>
    <mergeCell ref="AQ84:AR84"/>
    <mergeCell ref="AG85:AM85"/>
    <mergeCell ref="AO85:AP85"/>
    <mergeCell ref="AQ85:AR85"/>
    <mergeCell ref="AG82:AM82"/>
    <mergeCell ref="AO82:AP82"/>
    <mergeCell ref="AQ82:AR82"/>
    <mergeCell ref="AG83:AM83"/>
    <mergeCell ref="AO83:AP83"/>
    <mergeCell ref="AQ83:AR83"/>
    <mergeCell ref="AG80:AM80"/>
    <mergeCell ref="AO80:AP80"/>
    <mergeCell ref="AQ80:AR80"/>
    <mergeCell ref="AG81:AM81"/>
    <mergeCell ref="AO78:AP78"/>
    <mergeCell ref="AQ78:AR78"/>
    <mergeCell ref="AG79:AM79"/>
    <mergeCell ref="AO79:AP79"/>
    <mergeCell ref="AQ79:AR79"/>
    <mergeCell ref="AG76:AM76"/>
    <mergeCell ref="AO76:AP76"/>
    <mergeCell ref="AQ76:AR76"/>
    <mergeCell ref="AG77:AM77"/>
    <mergeCell ref="AO77:AP77"/>
    <mergeCell ref="AQ77:AR77"/>
    <mergeCell ref="AG74:AM74"/>
    <mergeCell ref="AO74:AP74"/>
    <mergeCell ref="AQ74:AR74"/>
    <mergeCell ref="AG75:AM75"/>
    <mergeCell ref="AO75:AP75"/>
    <mergeCell ref="AQ75:AR75"/>
    <mergeCell ref="AG72:AM72"/>
    <mergeCell ref="AO72:AP72"/>
    <mergeCell ref="AQ72:AR72"/>
    <mergeCell ref="AG73:AM73"/>
    <mergeCell ref="AO73:AP73"/>
    <mergeCell ref="AQ73:AR73"/>
    <mergeCell ref="AG70:AM70"/>
    <mergeCell ref="AO70:AP70"/>
    <mergeCell ref="AQ70:AR70"/>
    <mergeCell ref="AG71:AM71"/>
    <mergeCell ref="AO71:AP71"/>
    <mergeCell ref="AQ71:AR71"/>
    <mergeCell ref="AQ63:AR63"/>
    <mergeCell ref="AG68:AM68"/>
    <mergeCell ref="AO68:AP68"/>
    <mergeCell ref="AQ68:AR68"/>
    <mergeCell ref="AG69:AM69"/>
    <mergeCell ref="AO69:AP69"/>
    <mergeCell ref="AQ69:AR69"/>
    <mergeCell ref="AG66:AM66"/>
    <mergeCell ref="AO66:AP66"/>
    <mergeCell ref="AQ66:AR66"/>
    <mergeCell ref="AG67:AM67"/>
    <mergeCell ref="AO67:AP67"/>
    <mergeCell ref="AQ67:AR67"/>
    <mergeCell ref="AQ60:AR60"/>
    <mergeCell ref="AG61:AM61"/>
    <mergeCell ref="AO61:AP61"/>
    <mergeCell ref="AQ61:AR61"/>
    <mergeCell ref="AB87:AC87"/>
    <mergeCell ref="AB88:AC88"/>
    <mergeCell ref="AB82:AC82"/>
    <mergeCell ref="AB83:AC83"/>
    <mergeCell ref="AB84:AC84"/>
    <mergeCell ref="AB85:AC85"/>
    <mergeCell ref="AB86:AC86"/>
    <mergeCell ref="AB66:AC66"/>
    <mergeCell ref="AB67:AC67"/>
    <mergeCell ref="AB68:AC68"/>
    <mergeCell ref="AG64:AM64"/>
    <mergeCell ref="AO64:AP64"/>
    <mergeCell ref="AQ64:AR64"/>
    <mergeCell ref="AG65:AM65"/>
    <mergeCell ref="AO65:AP65"/>
    <mergeCell ref="AQ65:AR65"/>
    <mergeCell ref="AG62:AM62"/>
    <mergeCell ref="AO62:AP62"/>
    <mergeCell ref="AQ62:AR62"/>
    <mergeCell ref="AG63:AM63"/>
    <mergeCell ref="AQ56:AR57"/>
    <mergeCell ref="AG58:AM58"/>
    <mergeCell ref="AO58:AP58"/>
    <mergeCell ref="AQ58:AR58"/>
    <mergeCell ref="AG59:AM59"/>
    <mergeCell ref="AB81:AC81"/>
    <mergeCell ref="AB75:AC75"/>
    <mergeCell ref="AB76:AC76"/>
    <mergeCell ref="AB77:AC77"/>
    <mergeCell ref="AB78:AC78"/>
    <mergeCell ref="AB79:AC79"/>
    <mergeCell ref="AB80:AC80"/>
    <mergeCell ref="AB69:AC69"/>
    <mergeCell ref="AB70:AC70"/>
    <mergeCell ref="AB71:AC71"/>
    <mergeCell ref="AB72:AC72"/>
    <mergeCell ref="AB73:AC73"/>
    <mergeCell ref="AB74:AC74"/>
    <mergeCell ref="AB63:AC63"/>
    <mergeCell ref="AB64:AC64"/>
    <mergeCell ref="AB65:AC65"/>
    <mergeCell ref="AQ59:AR59"/>
    <mergeCell ref="AG60:AM60"/>
    <mergeCell ref="AO60:AP60"/>
    <mergeCell ref="Z84:AA84"/>
    <mergeCell ref="Z85:AA85"/>
    <mergeCell ref="Z86:AA86"/>
    <mergeCell ref="Z87:AA87"/>
    <mergeCell ref="AB58:AC58"/>
    <mergeCell ref="AB59:AC59"/>
    <mergeCell ref="AB60:AC60"/>
    <mergeCell ref="AB61:AC61"/>
    <mergeCell ref="AB62:AC62"/>
    <mergeCell ref="Z77:AA77"/>
    <mergeCell ref="Z78:AA78"/>
    <mergeCell ref="Z79:AA79"/>
    <mergeCell ref="Z80:AA80"/>
    <mergeCell ref="Z81:AA81"/>
    <mergeCell ref="Z82:AA82"/>
    <mergeCell ref="Z71:AA71"/>
    <mergeCell ref="Z72:AA72"/>
    <mergeCell ref="Z73:AA73"/>
    <mergeCell ref="Z74:AA74"/>
    <mergeCell ref="Z75:AA75"/>
    <mergeCell ref="Z76:AA76"/>
    <mergeCell ref="Z65:AA65"/>
    <mergeCell ref="Z66:AA66"/>
    <mergeCell ref="Z68:AA68"/>
    <mergeCell ref="Z69:AA69"/>
    <mergeCell ref="Z70:AA70"/>
    <mergeCell ref="R87:X87"/>
    <mergeCell ref="Z56:AA57"/>
    <mergeCell ref="AB56:AC57"/>
    <mergeCell ref="Z58:AA58"/>
    <mergeCell ref="Z59:AA59"/>
    <mergeCell ref="Z60:AA60"/>
    <mergeCell ref="Z61:AA61"/>
    <mergeCell ref="Z62:AA62"/>
    <mergeCell ref="Z63:AA63"/>
    <mergeCell ref="Z64:AA64"/>
    <mergeCell ref="R81:X81"/>
    <mergeCell ref="R82:X82"/>
    <mergeCell ref="R83:X83"/>
    <mergeCell ref="R84:X84"/>
    <mergeCell ref="R85:X85"/>
    <mergeCell ref="R86:X86"/>
    <mergeCell ref="R75:X75"/>
    <mergeCell ref="R76:X76"/>
    <mergeCell ref="R77:X77"/>
    <mergeCell ref="R78:X78"/>
    <mergeCell ref="Z83:AA83"/>
    <mergeCell ref="R79:X79"/>
    <mergeCell ref="R80:X80"/>
    <mergeCell ref="R69:X69"/>
    <mergeCell ref="R70:X70"/>
    <mergeCell ref="R71:X71"/>
    <mergeCell ref="R72:X72"/>
    <mergeCell ref="R73:X73"/>
    <mergeCell ref="R74:X74"/>
    <mergeCell ref="R63:X63"/>
    <mergeCell ref="R64:X64"/>
    <mergeCell ref="R65:X65"/>
    <mergeCell ref="R66:X66"/>
    <mergeCell ref="R67:X67"/>
    <mergeCell ref="R68:X68"/>
    <mergeCell ref="M88:N88"/>
    <mergeCell ref="M56:N57"/>
    <mergeCell ref="H54:N54"/>
    <mergeCell ref="R56:X57"/>
    <mergeCell ref="R58:X58"/>
    <mergeCell ref="R59:X59"/>
    <mergeCell ref="R60:X60"/>
    <mergeCell ref="R61:X61"/>
    <mergeCell ref="R62:X62"/>
    <mergeCell ref="K85:L85"/>
    <mergeCell ref="K86:L86"/>
    <mergeCell ref="K87:L87"/>
    <mergeCell ref="K56:L57"/>
    <mergeCell ref="M58:N58"/>
    <mergeCell ref="M59:N59"/>
    <mergeCell ref="M60:N60"/>
    <mergeCell ref="M61:N61"/>
    <mergeCell ref="M62:N62"/>
    <mergeCell ref="M63:N63"/>
    <mergeCell ref="K58:L58"/>
    <mergeCell ref="K59:L59"/>
    <mergeCell ref="K60:L60"/>
    <mergeCell ref="K61:L61"/>
    <mergeCell ref="K62:L62"/>
    <mergeCell ref="M87:N87"/>
    <mergeCell ref="M64:N64"/>
    <mergeCell ref="C56:I57"/>
    <mergeCell ref="K81:L81"/>
    <mergeCell ref="K82:L82"/>
    <mergeCell ref="K83:L83"/>
    <mergeCell ref="K84:L84"/>
    <mergeCell ref="K75:L75"/>
    <mergeCell ref="K76:L76"/>
    <mergeCell ref="K77:L77"/>
    <mergeCell ref="K78:L78"/>
    <mergeCell ref="K69:L69"/>
    <mergeCell ref="K70:L70"/>
    <mergeCell ref="K71:L71"/>
    <mergeCell ref="K72:L72"/>
    <mergeCell ref="K66:L66"/>
    <mergeCell ref="K67:L67"/>
    <mergeCell ref="K68:L68"/>
    <mergeCell ref="C84:I84"/>
    <mergeCell ref="C85:I85"/>
    <mergeCell ref="C86:I86"/>
    <mergeCell ref="C87:I87"/>
    <mergeCell ref="C78:I78"/>
    <mergeCell ref="C79:I79"/>
    <mergeCell ref="C58:I58"/>
    <mergeCell ref="C59:I59"/>
    <mergeCell ref="C60:I60"/>
    <mergeCell ref="C61:I61"/>
    <mergeCell ref="C62:I62"/>
    <mergeCell ref="C80:I80"/>
    <mergeCell ref="C81:I81"/>
    <mergeCell ref="C82:I82"/>
    <mergeCell ref="C83:I83"/>
    <mergeCell ref="C72:I72"/>
    <mergeCell ref="C73:I73"/>
    <mergeCell ref="C74:I74"/>
    <mergeCell ref="C75:I75"/>
    <mergeCell ref="C76:I76"/>
    <mergeCell ref="C77:I77"/>
    <mergeCell ref="M72:N72"/>
    <mergeCell ref="M71:N71"/>
    <mergeCell ref="M70:N70"/>
    <mergeCell ref="M69:N69"/>
    <mergeCell ref="M68:N68"/>
    <mergeCell ref="C68:I68"/>
    <mergeCell ref="C69:I69"/>
    <mergeCell ref="C70:I70"/>
    <mergeCell ref="C71:I71"/>
    <mergeCell ref="K79:L79"/>
    <mergeCell ref="K80:L80"/>
    <mergeCell ref="K73:L73"/>
    <mergeCell ref="K74:L74"/>
    <mergeCell ref="M86:N86"/>
    <mergeCell ref="M85:N85"/>
    <mergeCell ref="M84:N84"/>
    <mergeCell ref="M83:N83"/>
    <mergeCell ref="M82:N82"/>
    <mergeCell ref="M81:N81"/>
    <mergeCell ref="M80:N80"/>
    <mergeCell ref="M79:N79"/>
    <mergeCell ref="M78:N78"/>
    <mergeCell ref="M77:N77"/>
    <mergeCell ref="M76:N76"/>
    <mergeCell ref="M75:N75"/>
    <mergeCell ref="M74:N74"/>
    <mergeCell ref="M73:N73"/>
    <mergeCell ref="M67:N67"/>
    <mergeCell ref="M66:N66"/>
    <mergeCell ref="M65:N65"/>
    <mergeCell ref="C65:I65"/>
    <mergeCell ref="C64:I64"/>
    <mergeCell ref="C63:I63"/>
    <mergeCell ref="AO59:AP59"/>
    <mergeCell ref="C49:I49"/>
    <mergeCell ref="C48:I48"/>
    <mergeCell ref="C66:I66"/>
    <mergeCell ref="C67:I67"/>
    <mergeCell ref="K63:L63"/>
    <mergeCell ref="K64:L64"/>
    <mergeCell ref="K65:L65"/>
    <mergeCell ref="Z67:AA67"/>
    <mergeCell ref="W54:AC54"/>
    <mergeCell ref="AG56:AM57"/>
    <mergeCell ref="AO56:AP57"/>
    <mergeCell ref="AO63:AP63"/>
    <mergeCell ref="Z48:AA48"/>
    <mergeCell ref="Z49:AA49"/>
    <mergeCell ref="AB48:AC48"/>
    <mergeCell ref="AB49:AC49"/>
    <mergeCell ref="AB50:AC50"/>
    <mergeCell ref="C47:I47"/>
    <mergeCell ref="C46:I46"/>
    <mergeCell ref="C45:I45"/>
    <mergeCell ref="C44:I44"/>
    <mergeCell ref="C43:I43"/>
    <mergeCell ref="C42:I42"/>
    <mergeCell ref="C41:I41"/>
    <mergeCell ref="C40:I40"/>
    <mergeCell ref="C39:I39"/>
    <mergeCell ref="K32:L32"/>
    <mergeCell ref="K33:L33"/>
    <mergeCell ref="K34:L34"/>
    <mergeCell ref="K35:L35"/>
    <mergeCell ref="K36:L36"/>
    <mergeCell ref="K37:L37"/>
    <mergeCell ref="K26:L26"/>
    <mergeCell ref="K27:L27"/>
    <mergeCell ref="K28:L28"/>
    <mergeCell ref="K29:L29"/>
    <mergeCell ref="K30:L30"/>
    <mergeCell ref="K31:L31"/>
    <mergeCell ref="C38:I38"/>
    <mergeCell ref="C37:I37"/>
    <mergeCell ref="C36:I36"/>
    <mergeCell ref="C35:I35"/>
    <mergeCell ref="C34:I34"/>
    <mergeCell ref="C33:I33"/>
    <mergeCell ref="C32:I32"/>
    <mergeCell ref="C31:I31"/>
    <mergeCell ref="C30:I30"/>
    <mergeCell ref="K23:L23"/>
    <mergeCell ref="K24:L24"/>
    <mergeCell ref="K25:L25"/>
    <mergeCell ref="M20:N20"/>
    <mergeCell ref="M21:N21"/>
    <mergeCell ref="M22:N22"/>
    <mergeCell ref="M23:N23"/>
    <mergeCell ref="M24:N24"/>
    <mergeCell ref="M25:N25"/>
    <mergeCell ref="K20:L20"/>
    <mergeCell ref="K21:L21"/>
    <mergeCell ref="K22:L22"/>
    <mergeCell ref="C29:I29"/>
    <mergeCell ref="C28:I28"/>
    <mergeCell ref="C27:I27"/>
    <mergeCell ref="C26:I26"/>
    <mergeCell ref="C25:I25"/>
    <mergeCell ref="C24:I24"/>
    <mergeCell ref="C23:I23"/>
    <mergeCell ref="C22:I22"/>
    <mergeCell ref="C21:I21"/>
    <mergeCell ref="A9:AW10"/>
    <mergeCell ref="F1:I3"/>
    <mergeCell ref="J1:M3"/>
    <mergeCell ref="O1:AE3"/>
    <mergeCell ref="AL1:AO3"/>
    <mergeCell ref="AP1:AS3"/>
    <mergeCell ref="AT1:AW3"/>
    <mergeCell ref="I11:AK14"/>
    <mergeCell ref="C20:I20"/>
    <mergeCell ref="H16:N16"/>
    <mergeCell ref="R20:X20"/>
    <mergeCell ref="AG20:AM20"/>
    <mergeCell ref="AB20:AC20"/>
    <mergeCell ref="W16:AC16"/>
    <mergeCell ref="Z20:AA20"/>
  </mergeCells>
  <conditionalFormatting sqref="AQ8:AU8">
    <cfRule type="expression" dxfId="138" priority="1">
      <formula>IF($AQ$8=PROJSTATMEASURE,FALSE,TRUE)</formula>
    </cfRule>
  </conditionalFormatting>
  <dataValidations count="3">
    <dataValidation type="list" allowBlank="1" showInputMessage="1" showErrorMessage="1" sqref="H54 W54 AL54 H16 W16 AI16:AL16" xr:uid="{107A676E-7E97-4721-9248-BFA7C95A9C67}">
      <formula1>LPDSPACELIST</formula1>
    </dataValidation>
    <dataValidation type="whole" allowBlank="1" showInputMessage="1" showErrorMessage="1" sqref="AN58:AO87 J58:J87 Y58:Y87 J20:J49 Y20:Y49 AN20:AN49" xr:uid="{D4B121CE-7198-4939-8E7C-C3EE7F5D2C56}">
      <formula1>1</formula1>
      <formula2>9999</formula2>
    </dataValidation>
    <dataValidation type="decimal" allowBlank="1" showInputMessage="1" showErrorMessage="1" sqref="K20:K49 Z20:Z49 AO20:AO49 K58:K87 Z58:Z87 AO58:AO87" xr:uid="{0BDCCC14-398D-479D-9618-E58E695C5A4A}">
      <formula1>1</formula1>
      <formula2>1000000</formula2>
    </dataValidation>
  </dataValidations>
  <hyperlinks>
    <hyperlink ref="B202" r:id="rId1" display="businessrebates@evergy.com" xr:uid="{4A0FA6FB-5835-487A-B621-7F488AAB5F3B}"/>
  </hyperlinks>
  <printOptions horizontalCentered="1"/>
  <pageMargins left="0" right="0" top="0" bottom="0" header="0" footer="0"/>
  <pageSetup scale="64"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13E8-F6AF-4F14-B9D8-D33343F54E38}">
  <sheetPr codeName="Sheet96">
    <tabColor rgb="FFFFFF00"/>
  </sheetPr>
  <dimension ref="A1:AS6"/>
  <sheetViews>
    <sheetView zoomScale="85" zoomScaleNormal="85" workbookViewId="0">
      <selection activeCell="B6" sqref="B6"/>
    </sheetView>
  </sheetViews>
  <sheetFormatPr defaultColWidth="0" defaultRowHeight="14.45" customHeight="1" zeroHeight="1"/>
  <cols>
    <col min="1" max="1" width="23.85546875" bestFit="1" customWidth="1"/>
    <col min="2" max="2" width="63.42578125" bestFit="1" customWidth="1"/>
    <col min="3" max="3" width="10.28515625" hidden="1" customWidth="1"/>
    <col min="4" max="45" width="0" hidden="1" customWidth="1"/>
    <col min="46" max="16384" width="4.7109375" hidden="1"/>
  </cols>
  <sheetData>
    <row r="1" spans="1:2" ht="15">
      <c r="A1" s="464" t="s">
        <v>3</v>
      </c>
      <c r="B1" s="11" t="s">
        <v>2340</v>
      </c>
    </row>
    <row r="2" spans="1:2" ht="15.75" customHeight="1">
      <c r="A2" s="464" t="s">
        <v>0</v>
      </c>
      <c r="B2" s="11" t="s">
        <v>2203</v>
      </c>
    </row>
    <row r="3" spans="1:2" ht="15" customHeight="1">
      <c r="A3" s="464" t="s">
        <v>1854</v>
      </c>
      <c r="B3" s="467" t="str" cm="1">
        <f t="array" aca="1" ref="B3" ca="1">_xlfn.LET(
_xlpm.Main,
IF(ISNUMBER(_xlfn.SHEET("TEMPLATE")), 1, 0),
_xlpm.NC,
IF(ISNUMBER(_xlfn.SHEET("TEMPLATE_N")), 2, 0),
_xlpm.RCx,
IF(ISNUMBER(_xlfn.SHEET("TEMPLATE_X")), 3, 0),
_xlfn.SWITCH(_xlpm.Main+_xlpm.NC+_xlpm.RCx, 6, "Master App", 1, "General App", 2, "New Con App", 3, "RCx App", "")
)</f>
        <v>New Con App</v>
      </c>
    </row>
    <row r="4" spans="1:2" ht="15.75" customHeight="1">
      <c r="A4" s="464" t="s">
        <v>1015</v>
      </c>
      <c r="B4" s="11" t="s">
        <v>2203</v>
      </c>
    </row>
    <row r="5" spans="1:2" ht="15">
      <c r="A5" s="464" t="s">
        <v>1855</v>
      </c>
      <c r="B5" s="469">
        <v>46022</v>
      </c>
    </row>
    <row r="6" spans="1:2" ht="15">
      <c r="A6" s="464" t="s">
        <v>1856</v>
      </c>
      <c r="B6" s="469" t="str">
        <f ca="1">IF(AND(EXPIRATION_DATE&lt;TODAY(), NOT(OR(IFERROR(OR(ACTIVEOFFER="Yes", ACTIVECOMPL="Yes"), FALSE),IFERROR(OR(ACTIVEOFFER_N="Yes",ACTIVECOMPL_N="Yes"), FALSE), IFERROR(OR(ACTIVEOFFER_X="Yes", ACTIVECOMPL_X="Yes"), FALSE),))),PROJSTATEXP,"")</f>
        <v/>
      </c>
    </row>
  </sheetData>
  <sheetProtection algorithmName="SHA-512" hashValue="vyOIR2EXa425lc/xSEJnLgfaXfq3POO0Q6L05bN2omzcYwc3cmBDAv7vcR05Vev6fVJrX37HtaKM24yDQlgFoA==" saltValue="jL8IvOT7uT/At5Zt2XnQzw==" spinCount="100000" sheet="1" objects="1" scenarios="1"/>
  <dataValidations count="1">
    <dataValidation type="list" allowBlank="1" showInputMessage="1" showErrorMessage="1" sqref="B3" xr:uid="{63B44002-0529-485F-B583-55A3DA34EF9D}">
      <formula1>"Master App, General App, New Con App, RCx App"</formula1>
    </dataValidation>
  </dataValidations>
  <pageMargins left="0" right="0" top="0" bottom="0"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B2213-1CDB-44B7-B36C-E0BF2C4C51DC}">
  <sheetPr codeName="Sheet79">
    <tabColor theme="9" tint="0.59999389629810485"/>
    <pageSetUpPr fitToPage="1"/>
  </sheetPr>
  <dimension ref="A1:BX208"/>
  <sheetViews>
    <sheetView showGridLines="0" showRowColHeaders="0" zoomScale="85" zoomScaleNormal="85" workbookViewId="0"/>
  </sheetViews>
  <sheetFormatPr defaultColWidth="0" defaultRowHeight="0" customHeight="1" zeroHeight="1"/>
  <cols>
    <col min="1" max="49" width="4.7109375" customWidth="1"/>
    <col min="50" max="50" width="4.7109375" hidden="1" customWidth="1"/>
    <col min="51" max="52" width="9.28515625" hidden="1" customWidth="1"/>
    <col min="53" max="53" width="12.28515625" hidden="1" customWidth="1"/>
    <col min="54" max="63" width="9.28515625" hidden="1" customWidth="1"/>
    <col min="64" max="67" width="9.7109375" hidden="1" customWidth="1"/>
    <col min="68" max="69" width="9.5703125" hidden="1" customWidth="1"/>
    <col min="70" max="76" width="8.85546875" hidden="1" customWidth="1"/>
    <col min="77" max="16384" width="4.7109375" hidden="1"/>
  </cols>
  <sheetData>
    <row r="1" spans="1:6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6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6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69" ht="15.95" customHeight="1">
      <c r="B4" s="199"/>
      <c r="C4" s="199"/>
      <c r="D4" s="199"/>
      <c r="E4" s="199"/>
    </row>
    <row r="5" spans="1:69" ht="15.95" customHeight="1">
      <c r="A5" s="667">
        <f>INCENTOTAL_N</f>
        <v>0</v>
      </c>
      <c r="B5" s="667"/>
      <c r="C5" s="667"/>
      <c r="D5" s="667"/>
      <c r="E5" s="667"/>
      <c r="AQ5" s="668">
        <f ca="1">PROGRESSSTATUS_N</f>
        <v>0</v>
      </c>
      <c r="AR5" s="668"/>
      <c r="AS5" s="668"/>
      <c r="AT5" s="668"/>
      <c r="AU5" s="668"/>
      <c r="AV5" s="557"/>
      <c r="AW5" s="557"/>
      <c r="AY5" s="21"/>
      <c r="AZ5" s="110" t="s">
        <v>844</v>
      </c>
      <c r="BA5" s="110" t="s">
        <v>198</v>
      </c>
    </row>
    <row r="6" spans="1:69" ht="15.95" customHeight="1">
      <c r="A6" s="667"/>
      <c r="B6" s="667"/>
      <c r="C6" s="667"/>
      <c r="D6" s="667"/>
      <c r="E6" s="667"/>
      <c r="AQ6" s="668"/>
      <c r="AR6" s="668"/>
      <c r="AS6" s="668"/>
      <c r="AT6" s="668"/>
      <c r="AU6" s="668"/>
      <c r="AV6" s="557"/>
      <c r="AW6" s="557"/>
      <c r="AY6" s="109" t="s">
        <v>26</v>
      </c>
      <c r="AZ6" s="108" t="str">
        <f>CBLIGHT_N</f>
        <v>NA</v>
      </c>
      <c r="BA6" s="176" t="str">
        <f>PAYLIGHT_N</f>
        <v>NA</v>
      </c>
    </row>
    <row r="7" spans="1:69" ht="15.95" customHeight="1">
      <c r="A7" s="665" t="s">
        <v>20</v>
      </c>
      <c r="B7" s="665"/>
      <c r="C7" s="665"/>
      <c r="D7" s="665"/>
      <c r="E7" s="665"/>
      <c r="AQ7" s="665" t="s">
        <v>179</v>
      </c>
      <c r="AR7" s="665"/>
      <c r="AS7" s="665"/>
      <c r="AT7" s="665"/>
      <c r="AU7" s="665"/>
      <c r="AV7" s="556"/>
      <c r="AW7" s="556"/>
      <c r="AY7" s="109" t="s">
        <v>50</v>
      </c>
      <c r="AZ7" s="108" t="str">
        <f>CBCUST_N</f>
        <v>NA</v>
      </c>
      <c r="BA7" s="176" t="str">
        <f>PAYCUST_N</f>
        <v>NA</v>
      </c>
    </row>
    <row r="8" spans="1:69" ht="15.95" customHeight="1" thickBot="1">
      <c r="A8" s="665"/>
      <c r="B8" s="665"/>
      <c r="C8" s="665"/>
      <c r="D8" s="665"/>
      <c r="E8" s="665"/>
      <c r="AQ8" s="674" t="str">
        <f ca="1">PROJSTATUS_N</f>
        <v>Enter Measures</v>
      </c>
      <c r="AR8" s="674"/>
      <c r="AS8" s="674"/>
      <c r="AT8" s="674"/>
      <c r="AU8" s="674"/>
      <c r="AV8" s="558"/>
      <c r="AW8" s="558"/>
      <c r="AY8" s="109" t="s">
        <v>273</v>
      </c>
      <c r="AZ8" s="108" t="str">
        <f>CBPROJ_N</f>
        <v>NA</v>
      </c>
      <c r="BA8" s="176" t="str">
        <f>PAYPROJ_N</f>
        <v>NA</v>
      </c>
    </row>
    <row r="9" spans="1:69" ht="15.95" customHeight="1">
      <c r="A9" s="636" t="str">
        <f>N3S2&amp;": Step 2 - Measure Input"</f>
        <v>Interior Lighting: Step 2 - Measure Input</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c r="AY9" s="107" t="s">
        <v>828</v>
      </c>
      <c r="AZ9" s="399" t="str">
        <f ca="1">NEWCONCODE</f>
        <v>IECC 2012</v>
      </c>
      <c r="BA9" s="79"/>
      <c r="BB9" s="79"/>
      <c r="BC9" s="104"/>
      <c r="BD9" s="56"/>
      <c r="BE9" s="56"/>
      <c r="BF9" s="56"/>
      <c r="BG9" s="56"/>
      <c r="BH9" s="56"/>
    </row>
    <row r="10" spans="1:69"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c r="AY10" s="79"/>
      <c r="AZ10" s="79"/>
      <c r="BA10" s="79"/>
      <c r="BB10" s="79"/>
      <c r="BC10" s="104"/>
      <c r="BD10" s="56"/>
      <c r="BE10" s="56"/>
      <c r="BF10" s="56"/>
      <c r="BG10" s="56"/>
      <c r="BH10" s="56"/>
    </row>
    <row r="11" spans="1:69" ht="15.95" customHeight="1">
      <c r="B11" s="97"/>
      <c r="C11" s="97"/>
      <c r="D11" s="97"/>
      <c r="AP11" s="97"/>
      <c r="AQ11" s="97"/>
      <c r="AR11" s="97"/>
      <c r="BC11" s="21"/>
      <c r="BD11" s="56"/>
      <c r="BE11" s="56"/>
      <c r="BF11" s="56"/>
      <c r="BG11" s="56"/>
      <c r="BH11" s="56"/>
    </row>
    <row r="12" spans="1:69" ht="15.95" customHeight="1">
      <c r="A12" s="77"/>
      <c r="B12" s="77"/>
      <c r="C12" s="77"/>
      <c r="D12" s="77"/>
      <c r="E12" s="77"/>
      <c r="R12" s="789">
        <f>SUM(AN18:AQ184)</f>
        <v>0</v>
      </c>
      <c r="S12" s="789"/>
      <c r="T12" s="789"/>
      <c r="U12" s="789"/>
      <c r="V12" s="789">
        <f ca="1">SUMIF(AN18:AQ184,"&gt;0",AH18:AJ184)</f>
        <v>0</v>
      </c>
      <c r="W12" s="789"/>
      <c r="X12" s="789"/>
      <c r="Y12" s="789"/>
      <c r="Z12" s="790">
        <f ca="1">SUMIF(AN18:AQ184,"&gt;0",AK18:AM184)</f>
        <v>0</v>
      </c>
      <c r="AA12" s="790"/>
      <c r="AB12" s="790"/>
      <c r="AC12" s="790"/>
      <c r="AP12" s="456"/>
    </row>
    <row r="13" spans="1:69" ht="15.95" customHeight="1">
      <c r="A13" s="77"/>
      <c r="B13" s="77"/>
      <c r="R13" s="789"/>
      <c r="S13" s="789"/>
      <c r="T13" s="789"/>
      <c r="U13" s="789"/>
      <c r="V13" s="789"/>
      <c r="W13" s="789"/>
      <c r="X13" s="789"/>
      <c r="Y13" s="789"/>
      <c r="Z13" s="790"/>
      <c r="AA13" s="790"/>
      <c r="AB13" s="790"/>
      <c r="AC13" s="790"/>
      <c r="AI13" s="786" t="str">
        <f>IF(IFERROR(MATCH("Cost Cap at 50%", BN:BN, 0), FALSE), "The incentive for one or more measures is capped due to measure cost.", "")</f>
        <v/>
      </c>
      <c r="AJ13" s="786"/>
      <c r="AK13" s="786"/>
      <c r="AL13" s="786"/>
      <c r="AM13" s="786"/>
      <c r="AN13" s="786"/>
      <c r="AO13" s="786"/>
      <c r="AP13" s="786"/>
      <c r="AQ13" s="786"/>
    </row>
    <row r="14" spans="1:69" ht="15.95" customHeight="1">
      <c r="R14" s="793" t="s">
        <v>1204</v>
      </c>
      <c r="S14" s="793"/>
      <c r="T14" s="793"/>
      <c r="U14" s="793"/>
      <c r="V14" s="793" t="s">
        <v>4</v>
      </c>
      <c r="W14" s="793"/>
      <c r="X14" s="793"/>
      <c r="Y14" s="793"/>
      <c r="Z14" s="793" t="s">
        <v>776</v>
      </c>
      <c r="AA14" s="793"/>
      <c r="AB14" s="793"/>
      <c r="AC14" s="793"/>
      <c r="AI14" s="786"/>
      <c r="AJ14" s="786"/>
      <c r="AK14" s="786"/>
      <c r="AL14" s="786"/>
      <c r="AM14" s="786"/>
      <c r="AN14" s="786"/>
      <c r="AO14" s="786"/>
      <c r="AP14" s="786"/>
      <c r="AQ14" s="786"/>
    </row>
    <row r="15" spans="1:69" ht="15.95" customHeight="1"/>
    <row r="16" spans="1:69" ht="15.95" customHeight="1">
      <c r="C16" s="794" t="s">
        <v>830</v>
      </c>
      <c r="D16" s="794"/>
      <c r="E16" s="794"/>
      <c r="F16" s="794"/>
      <c r="G16" s="794"/>
      <c r="H16" s="794"/>
      <c r="I16" s="794" t="s">
        <v>827</v>
      </c>
      <c r="J16" s="794"/>
      <c r="K16" s="794"/>
      <c r="L16" s="794"/>
      <c r="M16" s="794"/>
      <c r="N16" s="794"/>
      <c r="O16" s="794" t="s">
        <v>948</v>
      </c>
      <c r="P16" s="794"/>
      <c r="Q16" s="794"/>
      <c r="R16" s="794" t="s">
        <v>829</v>
      </c>
      <c r="S16" s="794"/>
      <c r="T16" s="794" t="s">
        <v>828</v>
      </c>
      <c r="U16" s="794"/>
      <c r="V16" s="794"/>
      <c r="W16" s="794"/>
      <c r="X16" s="794"/>
      <c r="Y16" s="794" t="s">
        <v>831</v>
      </c>
      <c r="Z16" s="794"/>
      <c r="AA16" s="794"/>
      <c r="AB16" s="794"/>
      <c r="AC16" s="794"/>
      <c r="AD16" s="827" t="s">
        <v>1525</v>
      </c>
      <c r="AE16" s="827"/>
      <c r="AF16" s="827" t="s">
        <v>1526</v>
      </c>
      <c r="AG16" s="827"/>
      <c r="AH16" s="794" t="s">
        <v>832</v>
      </c>
      <c r="AI16" s="794"/>
      <c r="AJ16" s="794"/>
      <c r="AK16" s="794" t="s">
        <v>725</v>
      </c>
      <c r="AL16" s="794"/>
      <c r="AM16" s="794"/>
      <c r="AN16" s="794" t="s">
        <v>20</v>
      </c>
      <c r="AO16" s="794"/>
      <c r="AP16" s="794"/>
      <c r="AQ16" s="794"/>
      <c r="AY16" s="791" t="s">
        <v>48</v>
      </c>
      <c r="AZ16" s="791" t="s">
        <v>198</v>
      </c>
      <c r="BA16" s="796" t="s">
        <v>733</v>
      </c>
      <c r="BB16" s="796" t="s">
        <v>300</v>
      </c>
      <c r="BC16" s="796" t="s">
        <v>822</v>
      </c>
      <c r="BD16" s="796" t="s">
        <v>25</v>
      </c>
      <c r="BE16" s="791" t="s">
        <v>836</v>
      </c>
      <c r="BF16" s="791" t="s">
        <v>838</v>
      </c>
      <c r="BG16" s="796"/>
      <c r="BH16" s="798" t="s">
        <v>1669</v>
      </c>
      <c r="BI16" s="798" t="s">
        <v>320</v>
      </c>
      <c r="BJ16" s="791" t="s">
        <v>1675</v>
      </c>
      <c r="BK16" s="791" t="s">
        <v>1676</v>
      </c>
      <c r="BL16" s="796" t="s">
        <v>1240</v>
      </c>
      <c r="BM16" s="791" t="s">
        <v>22</v>
      </c>
      <c r="BN16" s="798" t="s">
        <v>837</v>
      </c>
      <c r="BO16" s="791" t="s">
        <v>185</v>
      </c>
      <c r="BP16" s="791" t="s">
        <v>1324</v>
      </c>
      <c r="BQ16" s="791" t="s">
        <v>1903</v>
      </c>
    </row>
    <row r="17" spans="2:69" ht="15.95" customHeight="1" thickBot="1">
      <c r="C17" s="795"/>
      <c r="D17" s="795"/>
      <c r="E17" s="795"/>
      <c r="F17" s="795"/>
      <c r="G17" s="795"/>
      <c r="H17" s="795"/>
      <c r="I17" s="795"/>
      <c r="J17" s="795"/>
      <c r="K17" s="795"/>
      <c r="L17" s="795"/>
      <c r="M17" s="795"/>
      <c r="N17" s="795"/>
      <c r="O17" s="795"/>
      <c r="P17" s="795"/>
      <c r="Q17" s="795"/>
      <c r="R17" s="795"/>
      <c r="S17" s="795"/>
      <c r="T17" s="795" t="s">
        <v>833</v>
      </c>
      <c r="U17" s="795"/>
      <c r="V17" s="795" t="s">
        <v>834</v>
      </c>
      <c r="W17" s="795"/>
      <c r="X17" s="795"/>
      <c r="Y17" s="795" t="s">
        <v>833</v>
      </c>
      <c r="Z17" s="795"/>
      <c r="AA17" s="795" t="s">
        <v>834</v>
      </c>
      <c r="AB17" s="795"/>
      <c r="AC17" s="795"/>
      <c r="AD17" s="828"/>
      <c r="AE17" s="828"/>
      <c r="AF17" s="828"/>
      <c r="AG17" s="828"/>
      <c r="AH17" s="795"/>
      <c r="AI17" s="795"/>
      <c r="AJ17" s="795"/>
      <c r="AK17" s="795"/>
      <c r="AL17" s="795"/>
      <c r="AM17" s="795"/>
      <c r="AN17" s="795"/>
      <c r="AO17" s="795"/>
      <c r="AP17" s="795"/>
      <c r="AQ17" s="795"/>
      <c r="AY17" s="792"/>
      <c r="AZ17" s="792"/>
      <c r="BA17" s="797"/>
      <c r="BB17" s="797"/>
      <c r="BC17" s="797"/>
      <c r="BD17" s="797"/>
      <c r="BE17" s="792"/>
      <c r="BF17" s="792"/>
      <c r="BG17" s="797"/>
      <c r="BH17" s="799"/>
      <c r="BI17" s="799"/>
      <c r="BJ17" s="792"/>
      <c r="BK17" s="792"/>
      <c r="BL17" s="797"/>
      <c r="BM17" s="792"/>
      <c r="BN17" s="799"/>
      <c r="BO17" s="792"/>
      <c r="BP17" s="792"/>
      <c r="BQ17" s="792"/>
    </row>
    <row r="18" spans="2:69" ht="15.95" customHeight="1">
      <c r="B18" s="800">
        <v>1</v>
      </c>
      <c r="C18" s="803" t="str">
        <f>IF(I18="","","Lighting Schedule Space Type #1")</f>
        <v/>
      </c>
      <c r="D18" s="804"/>
      <c r="E18" s="804"/>
      <c r="F18" s="804"/>
      <c r="G18" s="804"/>
      <c r="H18" s="804"/>
      <c r="I18" s="803" t="str">
        <f>IF(SPACETYPE1="","",SPACETYPE1)</f>
        <v/>
      </c>
      <c r="J18" s="804"/>
      <c r="K18" s="804"/>
      <c r="L18" s="804"/>
      <c r="M18" s="804"/>
      <c r="N18" s="804"/>
      <c r="O18" s="801"/>
      <c r="P18" s="801"/>
      <c r="Q18" s="801"/>
      <c r="R18" s="813"/>
      <c r="S18" s="813"/>
      <c r="T18" s="807" t="str">
        <f>IF(I18="","",IF(I18="Grow Facility","N/A",IF(OR(N02S03F17="",N02S03F19=""),0,SPACELPD1)))</f>
        <v/>
      </c>
      <c r="U18" s="808"/>
      <c r="V18" s="811" t="str">
        <f>IF(I18="Grow Facility","N/A",IF(OR(O18="",I18="",T18=""),"",O18*T18))</f>
        <v/>
      </c>
      <c r="W18" s="811"/>
      <c r="X18" s="812"/>
      <c r="Y18" s="810" t="str">
        <f>IF(I18="Grow Facility","N/A",IF(OR(O18="",I18=""),"",ROUND(AA18/O18,2)))</f>
        <v/>
      </c>
      <c r="Z18" s="810"/>
      <c r="AA18" s="811" t="str">
        <f>IF(I18="Grow Facility","N/A",IF(OR(C18="",I18=""),"",SPACEWATT1))</f>
        <v/>
      </c>
      <c r="AB18" s="811"/>
      <c r="AC18" s="812"/>
      <c r="AD18" s="817"/>
      <c r="AE18" s="817"/>
      <c r="AF18" s="819"/>
      <c r="AG18" s="820"/>
      <c r="AH18" s="823" t="str">
        <f>IF(OR(O18="",I18="",T18="",V18="",R18="",C18="",Y18="",AA18="",AF18=""),"",IF(AD18&lt;&gt;"",ROUND(AF18-AD18,2),IF(BK18&gt;(AF18*0.6),"",ROUND(BK18,2))))</f>
        <v/>
      </c>
      <c r="AI18" s="824"/>
      <c r="AJ18" s="824"/>
      <c r="AK18" s="831" t="str">
        <f>IFERROR(IF(OR(O18="",I18="",T18="",V18="",R18="",C18="",Y18="",AA18="",AF18=""),"",IF(BB18-BC18&lt;=0,0,ROUND(BB18-BC18,0))),"")</f>
        <v/>
      </c>
      <c r="AL18" s="831"/>
      <c r="AM18" s="831"/>
      <c r="AN18" s="833" t="str">
        <f>IF(OR(O18="",I18="",T18="",V18="",R18="",C18="",Y18="",AA18="",AF18=""),"",
IF(BO18&lt;&gt;"",BO18,
IF(BQ18&gt;0,BQ18,
IF(ACTIVEBLOCK_N="Yes",ROUND(MIN(AF18*NCLIGHTINGCAP,AK18*BLOCKBIDRATE),2),
IF(BL18&lt;&gt;"",ROUND(MIN(AF18*NCLIGHTINGCAP,BL18),2),
ROUND(MIN(AF18*NCLIGHTINGCAP,BH18),2))))))</f>
        <v/>
      </c>
      <c r="AO18" s="833"/>
      <c r="AP18" s="833"/>
      <c r="AQ18" s="833"/>
      <c r="AY18" s="835" t="str">
        <f>IFERROR(IF(OR(O18="",I18="",T18="",V18="",R18="",C18="",Y18="",AA18="",AF18=""),"",ROUND(BP18/IF( AD18 = "", BK18, (AF18-AD18)),2)),0)</f>
        <v/>
      </c>
      <c r="AZ18" s="835" t="str">
        <f>IFERROR(AH18/N02S03F14/AK18,"")</f>
        <v/>
      </c>
      <c r="BA18" s="815" t="str">
        <f>IF(I18="","",INDEX(LPDWATT[Unit of Measure],MATCH(I18,LPDWATT[Building Area Type],0)))</f>
        <v/>
      </c>
      <c r="BB18" s="837" t="str">
        <f>IF(OR(O18="",I18="",T18="",V18="",R18="",C18="",Y18="",AA18="",AF18=""),"",
IF(OR(ISNUMBER(SEARCH("Exterior",I18)),ISNUMBER(SEARCH("Garage",I18))),V18*R18/1000,
V18*R18/1000*INDEX(LPDWATT[IL TRM v9.0 WHFe],MATCH(I18,LPDWATT[Building Area Type],0))))</f>
        <v/>
      </c>
      <c r="BC18" s="837" t="str">
        <f>IF(OR(O18="",I18="",T18="",V18="",R18="",C18="",Y18="",AA18="",AF18=""),"",
IF(OR(ISNUMBER(SEARCH("Exterior",I18)),ISNUMBER(SEARCH("Garage",I18))),AA18*R18/1000,
AA18*R18/1000*INDEX(LPDWATT[IL TRM v9.0 WHFe],MATCH(I18,LPDWATT[Building Area Type],0))))</f>
        <v/>
      </c>
      <c r="BD18" s="843" t="str">
        <f>IF(I18="","",INDEX(LPDWATT[EUL],MATCH(I18,LPDWATT[Building Area Type],0)))</f>
        <v/>
      </c>
      <c r="BE18" s="845" t="str">
        <f>IF(I18="","",IF(AND(INDEX(LPDWATT[[End Use ]],MATCH(I18,LPDWATT[Building Area Type],0))="Ext Lighting w/ Peak ",R18=8760),"Ext Lighting w/Peak ",INDEX(LPDWATT[[End Use ]],MATCH(I18,LPDWATT[Building Area Type],0))))</f>
        <v/>
      </c>
      <c r="BF18" s="847" t="str">
        <f>IFERROR(IF(OR(O18="",I18="",T18="",V18="",R18="",C18="",Y18="",AA18="",AF18=""),"",ROUND(AK18*INDEX(ENDUSEALL[Factor],MATCH(BE18,ENDUSEALL[End Use to Coincident Peak Demand Factors],0)),4)),"")</f>
        <v/>
      </c>
      <c r="BG18" s="829"/>
      <c r="BH18" s="787" t="str">
        <f>IFERROR(ROUND((V18-AA18)*NCLIGHTINGRATE,2),"")</f>
        <v/>
      </c>
      <c r="BI18" s="839" t="str">
        <f>IFERROR(BH18/AK18,"")</f>
        <v/>
      </c>
      <c r="BJ18" s="841" t="str">
        <f>IFERROR(1-(Y18/T18),"")</f>
        <v/>
      </c>
      <c r="BK18" s="787" t="str">
        <f>IFERROR(IF(OR(BJ18="",BJ18&lt;=0),"",IF(BJ18&lt;=0.2, O18*INDEX(NCLIGHTINCCOST[WI Incremental Cost ($/sq ft)],MATCH(0.2,NCLIGHTINCCOST[% below code],0)),IF(AND(BJ18&gt;0.2,BJ18&lt;0.4),O18*INDEX(NCLIGHTINCCOST[WI Incremental Cost ($/sq ft)],MATCH(0.3,NCLIGHTINCCOST[% below code],0)), IF(BJ18&gt;=0.4,O18*INDEX(NCLIGHTINCCOST[WI Incremental Cost ($/sq ft)],MATCH(0.4,NCLIGHTINCCOST[% below code],0)),0)))),"")</f>
        <v/>
      </c>
      <c r="BL18" s="829"/>
      <c r="BM18" s="815" t="str">
        <f>IFERROR(IF(OR(O18="",I18="",T18="",V18="",R18="",C18="",Y18="",AA18="",AF18=""),"",IF(BO18&lt;&gt;"",SPILLOVERNUMBER,IF(ISNUMBER(SEARCH("Exterior",I18)),EXTLPDNUMBER,INTLPDNUMBER))),"")</f>
        <v/>
      </c>
      <c r="BN18" s="815" t="str">
        <f>IFERROR(IF(ROUND(AN18/AF18,2)=0.5,"Cost Cap at 50%",
IF(BL18&lt;&gt;"","Bonus Incentive",
"NC Incentive")),"")</f>
        <v/>
      </c>
      <c r="BO18" s="815" t="str">
        <f ca="1">IFERROR(IF(EXPIRATION&lt;&gt;"",PROJSTATEXP,
IF(I18="Grow Facility","Enter Under Grow Facility tab",
IF(OR(N02S03F17="",N02S03F19=""),MEASURESITE,
IF(OR(N02S03F14="",N02S03F14="Select Rate Code",N02S03F14=0),MEASURERATE,
IF(AA18=0,MEASURESTEP1,
IF((BB18-BC18)&lt;=0,MEASURESAVE,
IF(BJ18&lt;=0.1,MEASURELPD,
IF(AND(AD18="",BK18&gt;(AF18*0.6)),"Enter Baseline Cost",
IF(AH18&lt;=0,MEASUREINCR,""))))))))),MEASURESUBMIT)</f>
        <v>Enter Site City &amp; Zip (Building Tab)</v>
      </c>
      <c r="BP18" s="787" t="str">
        <f>IFERROR(IF(OR(O18="",I18="",T18="",V18="",R18="",C18="",Y18="",AA18="",AF18=""),"",ROUND(((1+ELOSS)*((AK18*INDEX(ELECCB[NPV AEC $/kWh],MATCH(BD18,ELECCB[Year Number],1)))+(BF18*INDEX(ELECCB[NPV ACC $/kW],MATCH(BD18,ELECCB[Year Number],1))))),2)),0)</f>
        <v/>
      </c>
      <c r="BQ18" s="853"/>
    </row>
    <row r="19" spans="2:69" ht="15.75" customHeight="1">
      <c r="B19" s="800"/>
      <c r="C19" s="805"/>
      <c r="D19" s="806"/>
      <c r="E19" s="806"/>
      <c r="F19" s="806"/>
      <c r="G19" s="806"/>
      <c r="H19" s="806"/>
      <c r="I19" s="805"/>
      <c r="J19" s="806"/>
      <c r="K19" s="806"/>
      <c r="L19" s="806"/>
      <c r="M19" s="806"/>
      <c r="N19" s="806"/>
      <c r="O19" s="802"/>
      <c r="P19" s="802"/>
      <c r="Q19" s="802"/>
      <c r="R19" s="814"/>
      <c r="S19" s="814"/>
      <c r="T19" s="809"/>
      <c r="U19" s="810"/>
      <c r="V19" s="811"/>
      <c r="W19" s="811"/>
      <c r="X19" s="812"/>
      <c r="Y19" s="810"/>
      <c r="Z19" s="810"/>
      <c r="AA19" s="811"/>
      <c r="AB19" s="811"/>
      <c r="AC19" s="812"/>
      <c r="AD19" s="818"/>
      <c r="AE19" s="818"/>
      <c r="AF19" s="821"/>
      <c r="AG19" s="822"/>
      <c r="AH19" s="825"/>
      <c r="AI19" s="826"/>
      <c r="AJ19" s="826"/>
      <c r="AK19" s="832"/>
      <c r="AL19" s="832"/>
      <c r="AM19" s="832"/>
      <c r="AN19" s="834"/>
      <c r="AO19" s="834"/>
      <c r="AP19" s="834"/>
      <c r="AQ19" s="834"/>
      <c r="AY19" s="836"/>
      <c r="AZ19" s="836"/>
      <c r="BA19" s="816"/>
      <c r="BB19" s="838"/>
      <c r="BC19" s="838"/>
      <c r="BD19" s="844"/>
      <c r="BE19" s="846"/>
      <c r="BF19" s="848"/>
      <c r="BG19" s="830"/>
      <c r="BH19" s="788"/>
      <c r="BI19" s="840"/>
      <c r="BJ19" s="842"/>
      <c r="BK19" s="788"/>
      <c r="BL19" s="830"/>
      <c r="BM19" s="816"/>
      <c r="BN19" s="816"/>
      <c r="BO19" s="816"/>
      <c r="BP19" s="788"/>
      <c r="BQ19" s="854"/>
    </row>
    <row r="20" spans="2:69" ht="15.95" customHeight="1">
      <c r="B20" s="800">
        <v>2</v>
      </c>
      <c r="C20" s="805" t="str">
        <f>IF(I20="","","Lighting Schedule Space Type #2")</f>
        <v/>
      </c>
      <c r="D20" s="806"/>
      <c r="E20" s="806"/>
      <c r="F20" s="806"/>
      <c r="G20" s="806"/>
      <c r="H20" s="806"/>
      <c r="I20" s="805" t="str">
        <f>IF(SPACETYPE2="","",SPACETYPE2)</f>
        <v/>
      </c>
      <c r="J20" s="806"/>
      <c r="K20" s="806"/>
      <c r="L20" s="806"/>
      <c r="M20" s="806"/>
      <c r="N20" s="806"/>
      <c r="O20" s="802"/>
      <c r="P20" s="802"/>
      <c r="Q20" s="802"/>
      <c r="R20" s="814"/>
      <c r="S20" s="814"/>
      <c r="T20" s="807" t="str">
        <f>IF(I20="","",IF(I20="Grow Facility","N/A",IF(OR(N02S03F17="",N02S03F19=""),0,SPACELPD2)))</f>
        <v/>
      </c>
      <c r="U20" s="808"/>
      <c r="V20" s="811" t="str">
        <f>IF(I20="Grow Facility","N/A",IF(OR(O20="",I20="",T20=""),"",O20*T20))</f>
        <v/>
      </c>
      <c r="W20" s="811"/>
      <c r="X20" s="812"/>
      <c r="Y20" s="810" t="str">
        <f>IF(I20="Grow Facility","N/A",IF(OR(O20="",I20=""),"",ROUND(AA20/O20,2)))</f>
        <v/>
      </c>
      <c r="Z20" s="810"/>
      <c r="AA20" s="811" t="str">
        <f>IF(I20="Grow Facility","N/A",IF(OR(C20="",I20=""),"",SPACEWATT2))</f>
        <v/>
      </c>
      <c r="AB20" s="811"/>
      <c r="AC20" s="812"/>
      <c r="AD20" s="817"/>
      <c r="AE20" s="817"/>
      <c r="AF20" s="819"/>
      <c r="AG20" s="820"/>
      <c r="AH20" s="823" t="str">
        <f>IF(OR(O20="",I20="",T20="",V20="",R20="",C20="",Y20="",AA20="",AF20=""),"",IF(AD20&lt;&gt;"",ROUND(AF20-AD20,2),IF(BK20&gt;(AF20*0.6),"",ROUND(BK20,2))))</f>
        <v/>
      </c>
      <c r="AI20" s="824"/>
      <c r="AJ20" s="824"/>
      <c r="AK20" s="831" t="str">
        <f>IFERROR(IF(OR(O20="",I20="",T20="",V20="",R20="",C20="",Y20="",AA20="",AF20=""),"",IF(BB20-BC20&lt;=0,0,ROUND(BB20-BC20,0))),"")</f>
        <v/>
      </c>
      <c r="AL20" s="831"/>
      <c r="AM20" s="831"/>
      <c r="AN20" s="833" t="str">
        <f>IF(OR(O20="",I20="",T20="",V20="",R20="",C20="",Y20="",AA20="",AF20=""),"",
IF(BO20&lt;&gt;"",BO20,
IF(BQ20&gt;0,BQ20,
IF(ACTIVEBLOCK_N="Yes",ROUND(MIN(AF20*NCLIGHTINGCAP,AK20*BLOCKBIDRATE),2),
IF(BL20&lt;&gt;"",ROUND(MIN(AF20*NCLIGHTINGCAP,BL20),2),
ROUND(MIN(AF20*NCLIGHTINGCAP,BH20),2))))))</f>
        <v/>
      </c>
      <c r="AO20" s="833"/>
      <c r="AP20" s="833"/>
      <c r="AQ20" s="833"/>
      <c r="AY20" s="835" t="str">
        <f>IFERROR(IF(OR(O20="",I20="",T20="",V20="",R20="",C20="",Y20="",AA20="",AF20=""),"",ROUND(BP20/IF( AD20 = "", BK20, (AF20-AD20)),2)),0)</f>
        <v/>
      </c>
      <c r="AZ20" s="835" t="str">
        <f>IFERROR(AH20/N02S03F14/AK20,"")</f>
        <v/>
      </c>
      <c r="BA20" s="815" t="str">
        <f>IF(I20="","",INDEX(LPDWATT[Unit of Measure],MATCH(I20,LPDWATT[Building Area Type],0)))</f>
        <v/>
      </c>
      <c r="BB20" s="849" t="str">
        <f>IF(OR(O20="",I20="",T20="",V20="",R20="",C20="",Y20="",AA20="",AF20=""),"",
IF(OR(ISNUMBER(SEARCH("Exterior",I20)),ISNUMBER(SEARCH("Garage",I20))),V20*R20/1000,
V20*R20/1000*INDEX(LPDWATT[IL TRM v9.0 WHFe],MATCH(I20,LPDWATT[Building Area Type],0))))</f>
        <v/>
      </c>
      <c r="BC20" s="849" t="str">
        <f>IF(OR(O20="",I20="",T20="",V20="",R20="",C20="",Y20="",AA20="",AF20=""),"",
IF(OR(ISNUMBER(SEARCH("Exterior",I20)),ISNUMBER(SEARCH("Garage",I20))),AA20*R20/1000,
AA20*R20/1000*INDEX(LPDWATT[IL TRM v9.0 WHFe],MATCH(I20,LPDWATT[Building Area Type],0))))</f>
        <v/>
      </c>
      <c r="BD20" s="843" t="str">
        <f>IF(I20="","",INDEX(LPDWATT[EUL],MATCH(I20,LPDWATT[Building Area Type],0)))</f>
        <v/>
      </c>
      <c r="BE20" s="845" t="str">
        <f>IF(I20="","",IF(AND(INDEX(LPDWATT[[End Use ]],MATCH(I20,LPDWATT[Building Area Type],0))="Ext Lighting w/ Peak ",R20=8760),"Ext Lighting w/Peak ",INDEX(LPDWATT[[End Use ]],MATCH(I20,LPDWATT[Building Area Type],0))))</f>
        <v/>
      </c>
      <c r="BF20" s="847" t="str">
        <f>IFERROR(IF(OR(O20="",I20="",T20="",V20="",R20="",C20="",Y20="",AA20="",AF20=""),"",ROUND(AK20*INDEX(ENDUSEALL[Factor],MATCH(BE20,ENDUSEALL[End Use to Coincident Peak Demand Factors],0)),4)),"")</f>
        <v/>
      </c>
      <c r="BG20" s="829"/>
      <c r="BH20" s="787" t="str">
        <f>IFERROR(ROUND((V20-AA20)*NCLIGHTINGRATE,2),"")</f>
        <v/>
      </c>
      <c r="BI20" s="839" t="str">
        <f>IFERROR(BH20/AK20,"")</f>
        <v/>
      </c>
      <c r="BJ20" s="841" t="str">
        <f>IFERROR(1-(Y20/T20),"")</f>
        <v/>
      </c>
      <c r="BK20" s="787" t="str">
        <f>IFERROR(IF(OR(BJ20="",BJ20&lt;=0),"",IF(BJ20&lt;=0.2, O20*INDEX(NCLIGHTINCCOST[WI Incremental Cost ($/sq ft)],MATCH(0.2,NCLIGHTINCCOST[% below code],0)),IF(AND(BJ20&gt;0.2,BJ20&lt;0.4),O20*INDEX(NCLIGHTINCCOST[WI Incremental Cost ($/sq ft)],MATCH(0.3,NCLIGHTINCCOST[% below code],0)), IF(BJ20&gt;=0.4,O20*INDEX(NCLIGHTINCCOST[WI Incremental Cost ($/sq ft)],MATCH(0.4,NCLIGHTINCCOST[% below code],0)),0)))),"")</f>
        <v/>
      </c>
      <c r="BL20" s="829"/>
      <c r="BM20" s="815" t="str">
        <f>IFERROR(IF(OR(O20="",I20="",T20="",V20="",R20="",C20="",Y20="",AA20="",AF20=""),"",IF(BO20&lt;&gt;"",SPILLOVERNUMBER,IF(ISNUMBER(SEARCH("Exterior",I20)),EXTLPDNUMBER,INTLPDNUMBER))),"")</f>
        <v/>
      </c>
      <c r="BN20" s="815" t="str">
        <f>IFERROR(IF(ROUND(AN20/AF20,2)=0.5,"Cost Cap at 50%",
IF(BL20&lt;&gt;"","Bonus Incentive",
"NC Incentive")),"")</f>
        <v/>
      </c>
      <c r="BO20" s="815" t="str">
        <f ca="1">IFERROR(IF(EXPIRATION&lt;&gt;"",PROJSTATEXP,
IF(I20="Grow Facility","Enter Under Grow Facility tab",
IF(OR(N02S03F17="",N02S03F19=""),MEASURESITE,
IF(OR(N02S03F14="",N02S03F14="Select Rate Code",N02S03F14=0),MEASURERATE,
IF(AA20=0,MEASURESTEP1,
IF((BB20-BC20)&lt;=0,MEASURESAVE,
IF(BJ20&lt;=0.1,MEASURELPD,
IF(AND(AD20="",BK20&gt;(AF20*0.6)),"Enter Baseline Cost",
IF(AH20&lt;=0,MEASUREINCR,""))))))))),MEASURESUBMIT)</f>
        <v>Enter Site City &amp; Zip (Building Tab)</v>
      </c>
      <c r="BP20" s="787" t="str">
        <f>IFERROR(IF(OR(O20="",I20="",T20="",V20="",R20="",C20="",Y20="",AA20="",AF20=""),"",ROUND(((1+ELOSS)*((AK20*INDEX(ELECCB[NPV AEC $/kWh],MATCH(BD20,ELECCB[Year Number],1)))+(BF20*INDEX(ELECCB[NPV ACC $/kW],MATCH(BD20,ELECCB[Year Number],1))))),2)),0)</f>
        <v/>
      </c>
      <c r="BQ20" s="853"/>
    </row>
    <row r="21" spans="2:69" ht="15.95" customHeight="1">
      <c r="B21" s="800"/>
      <c r="C21" s="805"/>
      <c r="D21" s="806"/>
      <c r="E21" s="806"/>
      <c r="F21" s="806"/>
      <c r="G21" s="806"/>
      <c r="H21" s="806"/>
      <c r="I21" s="805"/>
      <c r="J21" s="806"/>
      <c r="K21" s="806"/>
      <c r="L21" s="806"/>
      <c r="M21" s="806"/>
      <c r="N21" s="806"/>
      <c r="O21" s="802"/>
      <c r="P21" s="802"/>
      <c r="Q21" s="802"/>
      <c r="R21" s="814"/>
      <c r="S21" s="814"/>
      <c r="T21" s="809"/>
      <c r="U21" s="810"/>
      <c r="V21" s="811"/>
      <c r="W21" s="811"/>
      <c r="X21" s="812"/>
      <c r="Y21" s="810"/>
      <c r="Z21" s="810"/>
      <c r="AA21" s="811"/>
      <c r="AB21" s="811"/>
      <c r="AC21" s="812"/>
      <c r="AD21" s="818"/>
      <c r="AE21" s="818"/>
      <c r="AF21" s="821"/>
      <c r="AG21" s="822"/>
      <c r="AH21" s="825"/>
      <c r="AI21" s="826"/>
      <c r="AJ21" s="826"/>
      <c r="AK21" s="832"/>
      <c r="AL21" s="832"/>
      <c r="AM21" s="832"/>
      <c r="AN21" s="834"/>
      <c r="AO21" s="834"/>
      <c r="AP21" s="834"/>
      <c r="AQ21" s="834"/>
      <c r="AY21" s="836"/>
      <c r="AZ21" s="836"/>
      <c r="BA21" s="816"/>
      <c r="BB21" s="850"/>
      <c r="BC21" s="850"/>
      <c r="BD21" s="844"/>
      <c r="BE21" s="846"/>
      <c r="BF21" s="848"/>
      <c r="BG21" s="830"/>
      <c r="BH21" s="788"/>
      <c r="BI21" s="840"/>
      <c r="BJ21" s="842"/>
      <c r="BK21" s="788"/>
      <c r="BL21" s="830"/>
      <c r="BM21" s="816"/>
      <c r="BN21" s="816"/>
      <c r="BO21" s="816"/>
      <c r="BP21" s="788"/>
      <c r="BQ21" s="854"/>
    </row>
    <row r="22" spans="2:69" ht="15.95" customHeight="1">
      <c r="B22" s="800">
        <v>3</v>
      </c>
      <c r="C22" s="805" t="str">
        <f>IF(I22="","","Lighting Schedule Space Type #3")</f>
        <v/>
      </c>
      <c r="D22" s="806"/>
      <c r="E22" s="806"/>
      <c r="F22" s="806"/>
      <c r="G22" s="806"/>
      <c r="H22" s="806"/>
      <c r="I22" s="805" t="str">
        <f>IF(SPACETYPE3="","",SPACETYPE3)</f>
        <v/>
      </c>
      <c r="J22" s="806"/>
      <c r="K22" s="806"/>
      <c r="L22" s="806"/>
      <c r="M22" s="806"/>
      <c r="N22" s="806"/>
      <c r="O22" s="802"/>
      <c r="P22" s="802"/>
      <c r="Q22" s="802"/>
      <c r="R22" s="814"/>
      <c r="S22" s="814"/>
      <c r="T22" s="807" t="str">
        <f>IF(I22="","",IF(I22="Grow Facility","N/A",IF(OR(N02S03F17="",N02S03F19=""),0,SPACELPD3)))</f>
        <v/>
      </c>
      <c r="U22" s="808"/>
      <c r="V22" s="811" t="str">
        <f t="shared" ref="V22" si="0">IF(I22="Grow Facility","N/A",IF(OR(O22="",I22="",T22=""),"",O22*T22))</f>
        <v/>
      </c>
      <c r="W22" s="811"/>
      <c r="X22" s="812"/>
      <c r="Y22" s="810" t="str">
        <f t="shared" ref="Y22" si="1">IF(I22="Grow Facility","N/A",IF(OR(O22="",I22=""),"",ROUND(AA22/O22,2)))</f>
        <v/>
      </c>
      <c r="Z22" s="810"/>
      <c r="AA22" s="811" t="str">
        <f>IF(I22="Grow Facility","N/A",IF(OR(C22="",I22=""),"",SPACEWATT3))</f>
        <v/>
      </c>
      <c r="AB22" s="811"/>
      <c r="AC22" s="812"/>
      <c r="AD22" s="817"/>
      <c r="AE22" s="817"/>
      <c r="AF22" s="819"/>
      <c r="AG22" s="820"/>
      <c r="AH22" s="823" t="str">
        <f>IF(OR(O22="",I22="",T22="",V22="",R22="",C22="",Y22="",AA22="",AF22=""),"",IF(AD22&lt;&gt;"",ROUND(AF22-AD22,2),IF(BK22&gt;(AF22*0.6),"",ROUND(BK22,2))))</f>
        <v/>
      </c>
      <c r="AI22" s="824"/>
      <c r="AJ22" s="824"/>
      <c r="AK22" s="831" t="str">
        <f>IFERROR(IF(OR(O22="",I22="",T22="",V22="",R22="",C22="",Y22="",AA22="",AF22=""),"",IF(BB22-BC22&lt;=0,0,ROUND(BB22-BC22,0))),"")</f>
        <v/>
      </c>
      <c r="AL22" s="831"/>
      <c r="AM22" s="831"/>
      <c r="AN22" s="833" t="str">
        <f>IF(OR(O22="",I22="",T22="",V22="",R22="",C22="",Y22="",AA22="",AF22=""),"",
IF(BO22&lt;&gt;"",BO22,
IF(BQ22&gt;0,BQ22,
IF(ACTIVEBLOCK_N="Yes",ROUND(MIN(AF22*NCLIGHTINGCAP,AK22*BLOCKBIDRATE),2),
IF(BL22&lt;&gt;"",ROUND(MIN(AF22*NCLIGHTINGCAP,BL22),2),
ROUND(MIN(AF22*NCLIGHTINGCAP,BH22),2))))))</f>
        <v/>
      </c>
      <c r="AO22" s="833"/>
      <c r="AP22" s="833"/>
      <c r="AQ22" s="833"/>
      <c r="AY22" s="835" t="str">
        <f>IFERROR(IF(OR(O22="",I22="",T22="",V22="",R22="",C22="",Y22="",AA22="",AF22=""),"",ROUND(BP22/IF( AD22 = "", BK22, (AF22-AD22)),2)),0)</f>
        <v/>
      </c>
      <c r="AZ22" s="835" t="str">
        <f>IFERROR(AH22/N02S03F14/AK22,"")</f>
        <v/>
      </c>
      <c r="BA22" s="815" t="str">
        <f>IF(I22="","",INDEX(LPDWATT[Unit of Measure],MATCH(I22,LPDWATT[Building Area Type],0)))</f>
        <v/>
      </c>
      <c r="BB22" s="849" t="str">
        <f>IF(OR(O22="",I22="",T22="",V22="",R22="",C22="",Y22="",AA22="",AF22=""),"",
IF(OR(ISNUMBER(SEARCH("Exterior",I22)),ISNUMBER(SEARCH("Garage",I22))),V22*R22/1000,
V22*R22/1000*INDEX(LPDWATT[IL TRM v9.0 WHFe],MATCH(I22,LPDWATT[Building Area Type],0))))</f>
        <v/>
      </c>
      <c r="BC22" s="849" t="str">
        <f>IF(OR(O22="",I22="",T22="",V22="",R22="",C22="",Y22="",AA22="",AF22=""),"",
IF(OR(ISNUMBER(SEARCH("Exterior",I22)),ISNUMBER(SEARCH("Garage",I22))),AA22*R22/1000,
AA22*R22/1000*INDEX(LPDWATT[IL TRM v9.0 WHFe],MATCH(I22,LPDWATT[Building Area Type],0))))</f>
        <v/>
      </c>
      <c r="BD22" s="843" t="str">
        <f>IF(I22="","",INDEX(LPDWATT[EUL],MATCH(I22,LPDWATT[Building Area Type],0)))</f>
        <v/>
      </c>
      <c r="BE22" s="845" t="str">
        <f>IF(I22="","",IF(AND(INDEX(LPDWATT[[End Use ]],MATCH(I22,LPDWATT[Building Area Type],0))="Ext Lighting w/ Peak ",R22=8760),"Ext Lighting w/Peak ",INDEX(LPDWATT[[End Use ]],MATCH(I22,LPDWATT[Building Area Type],0))))</f>
        <v/>
      </c>
      <c r="BF22" s="847" t="str">
        <f>IFERROR(IF(OR(O22="",I22="",T22="",V22="",R22="",C22="",Y22="",AA22="",AF22=""),"",ROUND(AK22*INDEX(ENDUSEALL[Factor],MATCH(BE22,ENDUSEALL[End Use to Coincident Peak Demand Factors],0)),4)),"")</f>
        <v/>
      </c>
      <c r="BG22" s="829"/>
      <c r="BH22" s="787" t="str">
        <f>IFERROR(ROUND((V22-AA22)*NCLIGHTINGRATE,2),"")</f>
        <v/>
      </c>
      <c r="BI22" s="839" t="str">
        <f>IFERROR(BH22/AK22,"")</f>
        <v/>
      </c>
      <c r="BJ22" s="841" t="str">
        <f>IFERROR(1-(Y22/T22),"")</f>
        <v/>
      </c>
      <c r="BK22" s="787" t="str">
        <f>IFERROR(IF(OR(BJ22="",BJ22&lt;=0),"",IF(BJ22&lt;=0.2, O22*INDEX(NCLIGHTINCCOST[WI Incremental Cost ($/sq ft)],MATCH(0.2,NCLIGHTINCCOST[% below code],0)),IF(AND(BJ22&gt;0.2,BJ22&lt;0.4),O22*INDEX(NCLIGHTINCCOST[WI Incremental Cost ($/sq ft)],MATCH(0.3,NCLIGHTINCCOST[% below code],0)), IF(BJ22&gt;=0.4,O22*INDEX(NCLIGHTINCCOST[WI Incremental Cost ($/sq ft)],MATCH(0.4,NCLIGHTINCCOST[% below code],0)),0)))),"")</f>
        <v/>
      </c>
      <c r="BL22" s="829"/>
      <c r="BM22" s="815" t="str">
        <f>IFERROR(IF(OR(O22="",I22="",T22="",V22="",R22="",C22="",Y22="",AA22="",AF22=""),"",IF(BO22&lt;&gt;"",SPILLOVERNUMBER,IF(ISNUMBER(SEARCH("Exterior",I22)),EXTLPDNUMBER,INTLPDNUMBER))),"")</f>
        <v/>
      </c>
      <c r="BN22" s="815" t="str">
        <f>IFERROR(IF(ROUND(AN22/AF22,2)=0.5,"Cost Cap at 50%",
IF(BL22&lt;&gt;"","Bonus Incentive",
"NC Incentive")),"")</f>
        <v/>
      </c>
      <c r="BO22" s="815" t="str">
        <f ca="1">IFERROR(IF(EXPIRATION&lt;&gt;"",PROJSTATEXP,
IF(I22="Grow Facility","Enter Under Grow Facility tab",
IF(OR(N02S03F17="",N02S03F19=""),MEASURESITE,
IF(OR(N02S03F14="",N02S03F14="Select Rate Code",N02S03F14=0),MEASURERATE,
IF(AA22=0,MEASURESTEP1,
IF((BB22-BC22)&lt;=0,MEASURESAVE,
IF(BJ22&lt;=0.1,MEASURELPD,
IF(AND(AD22="",BK22&gt;(AF22*0.6)),"Enter Baseline Cost",
IF(AH22&lt;=0,MEASUREINCR,""))))))))),MEASURESUBMIT)</f>
        <v>Enter Site City &amp; Zip (Building Tab)</v>
      </c>
      <c r="BP22" s="787" t="str">
        <f>IFERROR(IF(OR(O22="",I22="",T22="",V22="",R22="",C22="",Y22="",AA22="",AF22=""),"",ROUND(((1+ELOSS)*((AK22*INDEX(ELECCB[NPV AEC $/kWh],MATCH(BD22,ELECCB[Year Number],1)))+(BF22*INDEX(ELECCB[NPV ACC $/kW],MATCH(BD22,ELECCB[Year Number],1))))),2)),0)</f>
        <v/>
      </c>
      <c r="BQ22" s="853"/>
    </row>
    <row r="23" spans="2:69" ht="15.95" customHeight="1">
      <c r="B23" s="800"/>
      <c r="C23" s="805"/>
      <c r="D23" s="806"/>
      <c r="E23" s="806"/>
      <c r="F23" s="806"/>
      <c r="G23" s="806"/>
      <c r="H23" s="806"/>
      <c r="I23" s="805"/>
      <c r="J23" s="806"/>
      <c r="K23" s="806"/>
      <c r="L23" s="806"/>
      <c r="M23" s="806"/>
      <c r="N23" s="806"/>
      <c r="O23" s="802"/>
      <c r="P23" s="802"/>
      <c r="Q23" s="802"/>
      <c r="R23" s="814"/>
      <c r="S23" s="814"/>
      <c r="T23" s="809"/>
      <c r="U23" s="810"/>
      <c r="V23" s="811"/>
      <c r="W23" s="811"/>
      <c r="X23" s="812"/>
      <c r="Y23" s="810"/>
      <c r="Z23" s="810"/>
      <c r="AA23" s="811"/>
      <c r="AB23" s="811"/>
      <c r="AC23" s="812"/>
      <c r="AD23" s="818"/>
      <c r="AE23" s="818"/>
      <c r="AF23" s="821"/>
      <c r="AG23" s="822"/>
      <c r="AH23" s="825"/>
      <c r="AI23" s="826"/>
      <c r="AJ23" s="826"/>
      <c r="AK23" s="832"/>
      <c r="AL23" s="832"/>
      <c r="AM23" s="832"/>
      <c r="AN23" s="834"/>
      <c r="AO23" s="834"/>
      <c r="AP23" s="834"/>
      <c r="AQ23" s="834"/>
      <c r="AY23" s="836"/>
      <c r="AZ23" s="836"/>
      <c r="BA23" s="816"/>
      <c r="BB23" s="850"/>
      <c r="BC23" s="850"/>
      <c r="BD23" s="844"/>
      <c r="BE23" s="846"/>
      <c r="BF23" s="848"/>
      <c r="BG23" s="830"/>
      <c r="BH23" s="788"/>
      <c r="BI23" s="840"/>
      <c r="BJ23" s="842"/>
      <c r="BK23" s="788"/>
      <c r="BL23" s="830"/>
      <c r="BM23" s="816"/>
      <c r="BN23" s="816"/>
      <c r="BO23" s="816"/>
      <c r="BP23" s="788"/>
      <c r="BQ23" s="854"/>
    </row>
    <row r="24" spans="2:69" ht="15.95" customHeight="1">
      <c r="B24" s="800">
        <v>4</v>
      </c>
      <c r="C24" s="805" t="str">
        <f>IF(I24="","","Lighting Schedule Space Type #4")</f>
        <v/>
      </c>
      <c r="D24" s="806"/>
      <c r="E24" s="806"/>
      <c r="F24" s="806"/>
      <c r="G24" s="806"/>
      <c r="H24" s="806"/>
      <c r="I24" s="805" t="str">
        <f>IF(SPACETYPE4="","",SPACETYPE4)</f>
        <v/>
      </c>
      <c r="J24" s="806"/>
      <c r="K24" s="806"/>
      <c r="L24" s="806"/>
      <c r="M24" s="806"/>
      <c r="N24" s="806"/>
      <c r="O24" s="802"/>
      <c r="P24" s="802"/>
      <c r="Q24" s="802"/>
      <c r="R24" s="814"/>
      <c r="S24" s="814"/>
      <c r="T24" s="807" t="str">
        <f>IF(I24="","",IF(I24="Grow Facility","N/A",IF(OR(N02S03F17="",N02S03F19=""),0,SPACELPD4)))</f>
        <v/>
      </c>
      <c r="U24" s="808"/>
      <c r="V24" s="811" t="str">
        <f t="shared" ref="V24" si="2">IF(I24="Grow Facility","N/A",IF(OR(O24="",I24="",T24=""),"",O24*T24))</f>
        <v/>
      </c>
      <c r="W24" s="811"/>
      <c r="X24" s="812"/>
      <c r="Y24" s="810" t="str">
        <f t="shared" ref="Y24" si="3">IF(I24="Grow Facility","N/A",IF(OR(O24="",I24=""),"",ROUND(AA24/O24,2)))</f>
        <v/>
      </c>
      <c r="Z24" s="810"/>
      <c r="AA24" s="811" t="str">
        <f>IF(I24="Grow Facility","N/A",IF(OR(C24="",I24=""),"",SPACEWATT4))</f>
        <v/>
      </c>
      <c r="AB24" s="811"/>
      <c r="AC24" s="812"/>
      <c r="AD24" s="817"/>
      <c r="AE24" s="817"/>
      <c r="AF24" s="819"/>
      <c r="AG24" s="820"/>
      <c r="AH24" s="823" t="str">
        <f>IF(OR(O24="",I24="",T24="",V24="",R24="",C24="",Y24="",AA24="",AF24=""),"",IF(AD24&lt;&gt;"",ROUND(AF24-AD24,2),IF(BK24&gt;(AF24*0.6),"",ROUND(BK24,2))))</f>
        <v/>
      </c>
      <c r="AI24" s="824"/>
      <c r="AJ24" s="824"/>
      <c r="AK24" s="831" t="str">
        <f>IFERROR(IF(OR(O24="",I24="",T24="",V24="",R24="",C24="",Y24="",AA24="",AF24=""),"",IF(BB24-BC24&lt;=0,0,ROUND(BB24-BC24,0))),"")</f>
        <v/>
      </c>
      <c r="AL24" s="831"/>
      <c r="AM24" s="831"/>
      <c r="AN24" s="833" t="str">
        <f>IF(OR(O24="",I24="",T24="",V24="",R24="",C24="",Y24="",AA24="",AF24=""),"",
IF(BO24&lt;&gt;"",BO24,
IF(BQ24&gt;0,BQ24,
IF(ACTIVEBLOCK_N="Yes",ROUND(MIN(AF24*NCLIGHTINGCAP,AK24*BLOCKBIDRATE),2),
IF(BL24&lt;&gt;"",ROUND(MIN(AF24*NCLIGHTINGCAP,BL24),2),
ROUND(MIN(AF24*NCLIGHTINGCAP,BH24),2))))))</f>
        <v/>
      </c>
      <c r="AO24" s="833"/>
      <c r="AP24" s="833"/>
      <c r="AQ24" s="833"/>
      <c r="AY24" s="835" t="str">
        <f>IFERROR(IF(OR(O24="",I24="",T24="",V24="",R24="",C24="",Y24="",AA24="",AF24=""),"",ROUND(BP24/IF( AD24 = "", BK24, (AF24-AD24)),2)),0)</f>
        <v/>
      </c>
      <c r="AZ24" s="835" t="str">
        <f>IFERROR(AH24/N02S03F14/AK24,"")</f>
        <v/>
      </c>
      <c r="BA24" s="815" t="str">
        <f>IF(I24="","",INDEX(LPDWATT[Unit of Measure],MATCH(I24,LPDWATT[Building Area Type],0)))</f>
        <v/>
      </c>
      <c r="BB24" s="849" t="str">
        <f>IF(OR(O24="",I24="",T24="",V24="",R24="",C24="",Y24="",AA24="",AF24=""),"",
IF(OR(ISNUMBER(SEARCH("Exterior",I24)),ISNUMBER(SEARCH("Garage",I24))),V24*R24/1000,
V24*R24/1000*INDEX(LPDWATT[IL TRM v9.0 WHFe],MATCH(I24,LPDWATT[Building Area Type],0))))</f>
        <v/>
      </c>
      <c r="BC24" s="849" t="str">
        <f>IF(OR(O24="",I24="",T24="",V24="",R24="",C24="",Y24="",AA24="",AF24=""),"",
IF(OR(ISNUMBER(SEARCH("Exterior",I24)),ISNUMBER(SEARCH("Garage",I24))),AA24*R24/1000,
AA24*R24/1000*INDEX(LPDWATT[IL TRM v9.0 WHFe],MATCH(I24,LPDWATT[Building Area Type],0))))</f>
        <v/>
      </c>
      <c r="BD24" s="843" t="str">
        <f>IF(I24="","",INDEX(LPDWATT[EUL],MATCH(I24,LPDWATT[Building Area Type],0)))</f>
        <v/>
      </c>
      <c r="BE24" s="845" t="str">
        <f>IF(I24="","",IF(AND(INDEX(LPDWATT[[End Use ]],MATCH(I24,LPDWATT[Building Area Type],0))="Ext Lighting w/ Peak ",R24=8760),"Ext Lighting w/Peak ",INDEX(LPDWATT[[End Use ]],MATCH(I24,LPDWATT[Building Area Type],0))))</f>
        <v/>
      </c>
      <c r="BF24" s="847" t="str">
        <f>IFERROR(IF(OR(O24="",I24="",T24="",V24="",R24="",C24="",Y24="",AA24="",AF24=""),"",ROUND(AK24*INDEX(ENDUSEALL[Factor],MATCH(BE24,ENDUSEALL[End Use to Coincident Peak Demand Factors],0)),4)),"")</f>
        <v/>
      </c>
      <c r="BG24" s="829"/>
      <c r="BH24" s="787" t="str">
        <f>IFERROR(ROUND((V24-AA24)*NCLIGHTINGRATE,2),"")</f>
        <v/>
      </c>
      <c r="BI24" s="839" t="str">
        <f>IFERROR(BH24/AK24,"")</f>
        <v/>
      </c>
      <c r="BJ24" s="841" t="str">
        <f>IFERROR(1-(Y24/T24),"")</f>
        <v/>
      </c>
      <c r="BK24" s="787" t="str">
        <f>IFERROR(IF(OR(BJ24="",BJ24&lt;=0),"",IF(BJ24&lt;=0.2, O24*INDEX(NCLIGHTINCCOST[WI Incremental Cost ($/sq ft)],MATCH(0.2,NCLIGHTINCCOST[% below code],0)),IF(AND(BJ24&gt;0.2,BJ24&lt;0.4),O24*INDEX(NCLIGHTINCCOST[WI Incremental Cost ($/sq ft)],MATCH(0.3,NCLIGHTINCCOST[% below code],0)), IF(BJ24&gt;=0.4,O24*INDEX(NCLIGHTINCCOST[WI Incremental Cost ($/sq ft)],MATCH(0.4,NCLIGHTINCCOST[% below code],0)),0)))),"")</f>
        <v/>
      </c>
      <c r="BL24" s="829"/>
      <c r="BM24" s="815" t="str">
        <f>IFERROR(IF(OR(O24="",I24="",T24="",V24="",R24="",C24="",Y24="",AA24="",AF24=""),"",IF(BO24&lt;&gt;"",SPILLOVERNUMBER,IF(ISNUMBER(SEARCH("Exterior",I24)),EXTLPDNUMBER,INTLPDNUMBER))),"")</f>
        <v/>
      </c>
      <c r="BN24" s="815" t="str">
        <f>IFERROR(IF(ROUND(AN24/AF24,2)=0.5,"Cost Cap at 50%",
IF(BL24&lt;&gt;"","Bonus Incentive",
"NC Incentive")),"")</f>
        <v/>
      </c>
      <c r="BO24" s="815" t="str">
        <f ca="1">IFERROR(IF(EXPIRATION&lt;&gt;"",PROJSTATEXP,
IF(I24="Grow Facility","Enter Under Grow Facility tab",
IF(OR(N02S03F17="",N02S03F19=""),MEASURESITE,
IF(OR(N02S03F14="",N02S03F14="Select Rate Code",N02S03F14=0),MEASURERATE,
IF(AA24=0,MEASURESTEP1,
IF((BB24-BC24)&lt;=0,MEASURESAVE,
IF(BJ24&lt;=0.1,MEASURELPD,
IF(AND(AD24="",BK24&gt;(AF24*0.6)),"Enter Baseline Cost",
IF(AH24&lt;=0,MEASUREINCR,""))))))))),MEASURESUBMIT)</f>
        <v>Enter Site City &amp; Zip (Building Tab)</v>
      </c>
      <c r="BP24" s="787" t="str">
        <f>IFERROR(IF(OR(O24="",I24="",T24="",V24="",R24="",C24="",Y24="",AA24="",AF24=""),"",ROUND(((1+ELOSS)*((AK24*INDEX(ELECCB[NPV AEC $/kWh],MATCH(BD24,ELECCB[Year Number],1)))+(BF24*INDEX(ELECCB[NPV ACC $/kW],MATCH(BD24,ELECCB[Year Number],1))))),2)),0)</f>
        <v/>
      </c>
      <c r="BQ24" s="853"/>
    </row>
    <row r="25" spans="2:69" ht="15.95" customHeight="1">
      <c r="B25" s="800"/>
      <c r="C25" s="805"/>
      <c r="D25" s="806"/>
      <c r="E25" s="806"/>
      <c r="F25" s="806"/>
      <c r="G25" s="806"/>
      <c r="H25" s="806"/>
      <c r="I25" s="805"/>
      <c r="J25" s="806"/>
      <c r="K25" s="806"/>
      <c r="L25" s="806"/>
      <c r="M25" s="806"/>
      <c r="N25" s="806"/>
      <c r="O25" s="802"/>
      <c r="P25" s="802"/>
      <c r="Q25" s="802"/>
      <c r="R25" s="814"/>
      <c r="S25" s="814"/>
      <c r="T25" s="809"/>
      <c r="U25" s="810"/>
      <c r="V25" s="811"/>
      <c r="W25" s="811"/>
      <c r="X25" s="812"/>
      <c r="Y25" s="810"/>
      <c r="Z25" s="810"/>
      <c r="AA25" s="811"/>
      <c r="AB25" s="811"/>
      <c r="AC25" s="812"/>
      <c r="AD25" s="818"/>
      <c r="AE25" s="818"/>
      <c r="AF25" s="821"/>
      <c r="AG25" s="822"/>
      <c r="AH25" s="825"/>
      <c r="AI25" s="826"/>
      <c r="AJ25" s="826"/>
      <c r="AK25" s="832"/>
      <c r="AL25" s="832"/>
      <c r="AM25" s="832"/>
      <c r="AN25" s="834"/>
      <c r="AO25" s="834"/>
      <c r="AP25" s="834"/>
      <c r="AQ25" s="834"/>
      <c r="AY25" s="836"/>
      <c r="AZ25" s="836"/>
      <c r="BA25" s="816"/>
      <c r="BB25" s="850"/>
      <c r="BC25" s="850"/>
      <c r="BD25" s="844"/>
      <c r="BE25" s="846"/>
      <c r="BF25" s="848"/>
      <c r="BG25" s="830"/>
      <c r="BH25" s="788"/>
      <c r="BI25" s="840"/>
      <c r="BJ25" s="842"/>
      <c r="BK25" s="788"/>
      <c r="BL25" s="830"/>
      <c r="BM25" s="816"/>
      <c r="BN25" s="816"/>
      <c r="BO25" s="816"/>
      <c r="BP25" s="788"/>
      <c r="BQ25" s="854"/>
    </row>
    <row r="26" spans="2:69" ht="15.95" customHeight="1">
      <c r="B26" s="800">
        <v>5</v>
      </c>
      <c r="C26" s="805" t="str">
        <f>IF(I26="","","Lighting Schedule Space Type #5")</f>
        <v/>
      </c>
      <c r="D26" s="806"/>
      <c r="E26" s="806"/>
      <c r="F26" s="806"/>
      <c r="G26" s="806"/>
      <c r="H26" s="806"/>
      <c r="I26" s="805" t="str">
        <f>IF(SPACETYPE5="","",SPACETYPE5)</f>
        <v/>
      </c>
      <c r="J26" s="806"/>
      <c r="K26" s="806"/>
      <c r="L26" s="806"/>
      <c r="M26" s="806"/>
      <c r="N26" s="806"/>
      <c r="O26" s="802"/>
      <c r="P26" s="802"/>
      <c r="Q26" s="802"/>
      <c r="R26" s="814"/>
      <c r="S26" s="814"/>
      <c r="T26" s="807" t="str">
        <f>IF(I26="","",IF(I26="Grow Facility","N/A",IF(OR(N02S03F17="",N02S03F19=""),0,SPACELPD5)))</f>
        <v/>
      </c>
      <c r="U26" s="808"/>
      <c r="V26" s="811" t="str">
        <f t="shared" ref="V26" si="4">IF(I26="Grow Facility","N/A",IF(OR(O26="",I26="",T26=""),"",O26*T26))</f>
        <v/>
      </c>
      <c r="W26" s="811"/>
      <c r="X26" s="812"/>
      <c r="Y26" s="810" t="str">
        <f t="shared" ref="Y26" si="5">IF(I26="Grow Facility","N/A",IF(OR(O26="",I26=""),"",ROUND(AA26/O26,2)))</f>
        <v/>
      </c>
      <c r="Z26" s="810"/>
      <c r="AA26" s="811" t="str">
        <f>IF(I26="Grow Facility","N/A",IF(OR(C26="",I26=""),"",SPACEWATT5))</f>
        <v/>
      </c>
      <c r="AB26" s="811"/>
      <c r="AC26" s="812"/>
      <c r="AD26" s="817"/>
      <c r="AE26" s="817"/>
      <c r="AF26" s="819"/>
      <c r="AG26" s="820"/>
      <c r="AH26" s="823" t="str">
        <f>IF(OR(O26="",I26="",T26="",V26="",R26="",C26="",Y26="",AA26="",AF26=""),"",IF(AD26&lt;&gt;"",ROUND(AF26-AD26,2),IF(BK26&gt;(AF26*0.6),"",ROUND(BK26,2))))</f>
        <v/>
      </c>
      <c r="AI26" s="824"/>
      <c r="AJ26" s="824"/>
      <c r="AK26" s="831" t="str">
        <f>IFERROR(IF(OR(O26="",I26="",T26="",V26="",R26="",C26="",Y26="",AA26="",AF26=""),"",IF(BB26-BC26&lt;=0,0,ROUND(BB26-BC26,0))),"")</f>
        <v/>
      </c>
      <c r="AL26" s="831"/>
      <c r="AM26" s="831"/>
      <c r="AN26" s="833" t="str">
        <f>IF(OR(O26="",I26="",T26="",V26="",R26="",C26="",Y26="",AA26="",AF26=""),"",
IF(BO26&lt;&gt;"",BO26,
IF(BQ26&gt;0,BQ26,
IF(ACTIVEBLOCK_N="Yes",ROUND(MIN(AF26*NCLIGHTINGCAP,AK26*BLOCKBIDRATE),2),
IF(BL26&lt;&gt;"",ROUND(MIN(AF26*NCLIGHTINGCAP,BL26),2),
ROUND(MIN(AF26*NCLIGHTINGCAP,BH26),2))))))</f>
        <v/>
      </c>
      <c r="AO26" s="833"/>
      <c r="AP26" s="833"/>
      <c r="AQ26" s="833"/>
      <c r="AY26" s="835" t="str">
        <f>IFERROR(IF(OR(O26="",I26="",T26="",V26="",R26="",C26="",Y26="",AA26="",AF26=""),"",ROUND(BP26/IF( AD26 = "", BK26, (AF26-AD26)),2)),0)</f>
        <v/>
      </c>
      <c r="AZ26" s="835" t="str">
        <f>IFERROR(AH26/N02S03F14/AK26,"")</f>
        <v/>
      </c>
      <c r="BA26" s="815" t="str">
        <f>IF(I26="","",INDEX(LPDWATT[Unit of Measure],MATCH(I26,LPDWATT[Building Area Type],0)))</f>
        <v/>
      </c>
      <c r="BB26" s="849" t="str">
        <f>IF(OR(O26="",I26="",T26="",V26="",R26="",C26="",Y26="",AA26="",AF26=""),"",
IF(OR(ISNUMBER(SEARCH("Exterior",I26)),ISNUMBER(SEARCH("Garage",I26))),V26*R26/1000,
V26*R26/1000*INDEX(LPDWATT[IL TRM v9.0 WHFe],MATCH(I26,LPDWATT[Building Area Type],0))))</f>
        <v/>
      </c>
      <c r="BC26" s="849" t="str">
        <f>IF(OR(O26="",I26="",T26="",V26="",R26="",C26="",Y26="",AA26="",AF26=""),"",
IF(OR(ISNUMBER(SEARCH("Exterior",I26)),ISNUMBER(SEARCH("Garage",I26))),AA26*R26/1000,
AA26*R26/1000*INDEX(LPDWATT[IL TRM v9.0 WHFe],MATCH(I26,LPDWATT[Building Area Type],0))))</f>
        <v/>
      </c>
      <c r="BD26" s="843" t="str">
        <f>IF(I26="","",INDEX(LPDWATT[EUL],MATCH(I26,LPDWATT[Building Area Type],0)))</f>
        <v/>
      </c>
      <c r="BE26" s="845" t="str">
        <f>IF(I26="","",IF(AND(INDEX(LPDWATT[[End Use ]],MATCH(I26,LPDWATT[Building Area Type],0))="Ext Lighting w/ Peak ",R26=8760),"Ext Lighting w/Peak ",INDEX(LPDWATT[[End Use ]],MATCH(I26,LPDWATT[Building Area Type],0))))</f>
        <v/>
      </c>
      <c r="BF26" s="847" t="str">
        <f>IFERROR(IF(OR(O26="",I26="",T26="",V26="",R26="",C26="",Y26="",AA26="",AF26=""),"",ROUND(AK26*INDEX(ENDUSEALL[Factor],MATCH(BE26,ENDUSEALL[End Use to Coincident Peak Demand Factors],0)),4)),"")</f>
        <v/>
      </c>
      <c r="BG26" s="829"/>
      <c r="BH26" s="787" t="str">
        <f>IFERROR(ROUND((V26-AA26)*NCLIGHTINGRATE,2),"")</f>
        <v/>
      </c>
      <c r="BI26" s="839" t="str">
        <f>IFERROR(BH26/AK26,"")</f>
        <v/>
      </c>
      <c r="BJ26" s="841" t="str">
        <f>IFERROR(1-(Y26/T26),"")</f>
        <v/>
      </c>
      <c r="BK26" s="787" t="str">
        <f>IFERROR(IF(OR(BJ26="",BJ26&lt;=0),"",IF(BJ26&lt;=0.2, O26*INDEX(NCLIGHTINCCOST[WI Incremental Cost ($/sq ft)],MATCH(0.2,NCLIGHTINCCOST[% below code],0)),IF(AND(BJ26&gt;0.2,BJ26&lt;0.4),O26*INDEX(NCLIGHTINCCOST[WI Incremental Cost ($/sq ft)],MATCH(0.3,NCLIGHTINCCOST[% below code],0)), IF(BJ26&gt;=0.4,O26*INDEX(NCLIGHTINCCOST[WI Incremental Cost ($/sq ft)],MATCH(0.4,NCLIGHTINCCOST[% below code],0)),0)))),"")</f>
        <v/>
      </c>
      <c r="BL26" s="829"/>
      <c r="BM26" s="815" t="str">
        <f>IFERROR(IF(OR(O26="",I26="",T26="",V26="",R26="",C26="",Y26="",AA26="",AF26=""),"",IF(BO26&lt;&gt;"",SPILLOVERNUMBER,IF(ISNUMBER(SEARCH("Exterior",I26)),EXTLPDNUMBER,INTLPDNUMBER))),"")</f>
        <v/>
      </c>
      <c r="BN26" s="815" t="str">
        <f>IFERROR(IF(ROUND(AN26/AF26,2)=0.5,"Cost Cap at 50%",
IF(BL26&lt;&gt;"","Bonus Incentive",
"NC Incentive")),"")</f>
        <v/>
      </c>
      <c r="BO26" s="815" t="str">
        <f ca="1">IFERROR(IF(EXPIRATION&lt;&gt;"",PROJSTATEXP,
IF(I26="Grow Facility","Enter Under Grow Facility tab",
IF(OR(N02S03F17="",N02S03F19=""),MEASURESITE,
IF(OR(N02S03F14="",N02S03F14="Select Rate Code",N02S03F14=0),MEASURERATE,
IF(AA26=0,MEASURESTEP1,
IF((BB26-BC26)&lt;=0,MEASURESAVE,
IF(BJ26&lt;=0.1,MEASURELPD,
IF(AND(AD26="",BK26&gt;(AF26*0.6)),"Enter Baseline Cost",
IF(AH26&lt;=0,MEASUREINCR,""))))))))),MEASURESUBMIT)</f>
        <v>Enter Site City &amp; Zip (Building Tab)</v>
      </c>
      <c r="BP26" s="787" t="str">
        <f>IFERROR(IF(OR(O26="",I26="",T26="",V26="",R26="",C26="",Y26="",AA26="",AF26=""),"",ROUND(((1+ELOSS)*((AK26*INDEX(ELECCB[NPV AEC $/kWh],MATCH(BD26,ELECCB[Year Number],1)))+(BF26*INDEX(ELECCB[NPV ACC $/kW],MATCH(BD26,ELECCB[Year Number],1))))),2)),0)</f>
        <v/>
      </c>
      <c r="BQ26" s="853"/>
    </row>
    <row r="27" spans="2:69" ht="15.95" customHeight="1">
      <c r="B27" s="800"/>
      <c r="C27" s="805"/>
      <c r="D27" s="806"/>
      <c r="E27" s="806"/>
      <c r="F27" s="806"/>
      <c r="G27" s="806"/>
      <c r="H27" s="806"/>
      <c r="I27" s="805"/>
      <c r="J27" s="806"/>
      <c r="K27" s="806"/>
      <c r="L27" s="806"/>
      <c r="M27" s="806"/>
      <c r="N27" s="806"/>
      <c r="O27" s="802"/>
      <c r="P27" s="802"/>
      <c r="Q27" s="802"/>
      <c r="R27" s="814"/>
      <c r="S27" s="814"/>
      <c r="T27" s="809"/>
      <c r="U27" s="810"/>
      <c r="V27" s="811"/>
      <c r="W27" s="811"/>
      <c r="X27" s="812"/>
      <c r="Y27" s="810"/>
      <c r="Z27" s="810"/>
      <c r="AA27" s="811"/>
      <c r="AB27" s="811"/>
      <c r="AC27" s="812"/>
      <c r="AD27" s="818"/>
      <c r="AE27" s="818"/>
      <c r="AF27" s="821"/>
      <c r="AG27" s="822"/>
      <c r="AH27" s="825"/>
      <c r="AI27" s="826"/>
      <c r="AJ27" s="826"/>
      <c r="AK27" s="832"/>
      <c r="AL27" s="832"/>
      <c r="AM27" s="832"/>
      <c r="AN27" s="834"/>
      <c r="AO27" s="834"/>
      <c r="AP27" s="834"/>
      <c r="AQ27" s="834"/>
      <c r="AY27" s="836"/>
      <c r="AZ27" s="836"/>
      <c r="BA27" s="816"/>
      <c r="BB27" s="850"/>
      <c r="BC27" s="850"/>
      <c r="BD27" s="844"/>
      <c r="BE27" s="846"/>
      <c r="BF27" s="848"/>
      <c r="BG27" s="830"/>
      <c r="BH27" s="788"/>
      <c r="BI27" s="840"/>
      <c r="BJ27" s="842"/>
      <c r="BK27" s="788"/>
      <c r="BL27" s="830"/>
      <c r="BM27" s="816"/>
      <c r="BN27" s="816"/>
      <c r="BO27" s="816"/>
      <c r="BP27" s="788"/>
      <c r="BQ27" s="854"/>
    </row>
    <row r="28" spans="2:69" ht="15.95" customHeight="1">
      <c r="B28" s="800">
        <v>6</v>
      </c>
      <c r="C28" s="805" t="str">
        <f>IF(I28="","","Lighting Schedule Space Type #6")</f>
        <v/>
      </c>
      <c r="D28" s="806"/>
      <c r="E28" s="806"/>
      <c r="F28" s="806"/>
      <c r="G28" s="806"/>
      <c r="H28" s="806"/>
      <c r="I28" s="805" t="str">
        <f>IF(SPACETYPE6="","",SPACETYPE6)</f>
        <v/>
      </c>
      <c r="J28" s="806"/>
      <c r="K28" s="806"/>
      <c r="L28" s="806"/>
      <c r="M28" s="806"/>
      <c r="N28" s="806"/>
      <c r="O28" s="802"/>
      <c r="P28" s="802"/>
      <c r="Q28" s="802"/>
      <c r="R28" s="814"/>
      <c r="S28" s="814"/>
      <c r="T28" s="807" t="str">
        <f>IF(I28="","",IF(I28="Grow Facility","N/A",IF(OR(N02S03F17="",N02S03F19=""),0,SPACELPD6)))</f>
        <v/>
      </c>
      <c r="U28" s="808"/>
      <c r="V28" s="811" t="str">
        <f t="shared" ref="V28" si="6">IF(I28="Grow Facility","N/A",IF(OR(O28="",I28="",T28=""),"",O28*T28))</f>
        <v/>
      </c>
      <c r="W28" s="811"/>
      <c r="X28" s="812"/>
      <c r="Y28" s="810" t="str">
        <f t="shared" ref="Y28" si="7">IF(I28="Grow Facility","N/A",IF(OR(O28="",I28=""),"",ROUND(AA28/O28,2)))</f>
        <v/>
      </c>
      <c r="Z28" s="810"/>
      <c r="AA28" s="811" t="str">
        <f>IF(I28="Grow Facility","N/A",IF(OR(C28="",I28=""),"",SPACEWATT6))</f>
        <v/>
      </c>
      <c r="AB28" s="811"/>
      <c r="AC28" s="812"/>
      <c r="AD28" s="817"/>
      <c r="AE28" s="817"/>
      <c r="AF28" s="819"/>
      <c r="AG28" s="820"/>
      <c r="AH28" s="823" t="str">
        <f>IF(OR(O28="",I28="",T28="",V28="",R28="",C28="",Y28="",AA28="",AF28=""),"",IF(AD28&lt;&gt;"",ROUND(AF28-AD28,2),IF(BK28&gt;(AF28*0.6),"",ROUND(BK28,2))))</f>
        <v/>
      </c>
      <c r="AI28" s="824"/>
      <c r="AJ28" s="824"/>
      <c r="AK28" s="831" t="str">
        <f>IFERROR(IF(OR(O28="",I28="",T28="",V28="",R28="",C28="",Y28="",AA28="",AF28=""),"",IF(BB28-BC28&lt;=0,0,ROUND(BB28-BC28,0))),"")</f>
        <v/>
      </c>
      <c r="AL28" s="831"/>
      <c r="AM28" s="831"/>
      <c r="AN28" s="833" t="str">
        <f>IF(OR(O28="",I28="",T28="",V28="",R28="",C28="",Y28="",AA28="",AF28=""),"",
IF(BO28&lt;&gt;"",BO28,
IF(BQ28&gt;0,BQ28,
IF(ACTIVEBLOCK_N="Yes",ROUND(MIN(AF28*NCLIGHTINGCAP,AK28*BLOCKBIDRATE),2),
IF(BL28&lt;&gt;"",ROUND(MIN(AF28*NCLIGHTINGCAP,BL28),2),
ROUND(MIN(AF28*NCLIGHTINGCAP,BH28),2))))))</f>
        <v/>
      </c>
      <c r="AO28" s="833"/>
      <c r="AP28" s="833"/>
      <c r="AQ28" s="833"/>
      <c r="AY28" s="835" t="str">
        <f>IFERROR(IF(OR(O28="",I28="",T28="",V28="",R28="",C28="",Y28="",AA28="",AF28=""),"",ROUND(BP28/IF( AD28 = "", BK28, (AF28-AD28)),2)),0)</f>
        <v/>
      </c>
      <c r="AZ28" s="835" t="str">
        <f>IFERROR(AH28/N02S03F14/AK28,"")</f>
        <v/>
      </c>
      <c r="BA28" s="815" t="str">
        <f>IF(I28="","",INDEX(LPDWATT[Unit of Measure],MATCH(I28,LPDWATT[Building Area Type],0)))</f>
        <v/>
      </c>
      <c r="BB28" s="849" t="str">
        <f>IF(OR(O28="",I28="",T28="",V28="",R28="",C28="",Y28="",AA28="",AF28=""),"",
IF(OR(ISNUMBER(SEARCH("Exterior",I28)),ISNUMBER(SEARCH("Garage",I28))),V28*R28/1000,
V28*R28/1000*INDEX(LPDWATT[IL TRM v9.0 WHFe],MATCH(I28,LPDWATT[Building Area Type],0))))</f>
        <v/>
      </c>
      <c r="BC28" s="849" t="str">
        <f>IF(OR(O28="",I28="",T28="",V28="",R28="",C28="",Y28="",AA28="",AF28=""),"",
IF(OR(ISNUMBER(SEARCH("Exterior",I28)),ISNUMBER(SEARCH("Garage",I28))),AA28*R28/1000,
AA28*R28/1000*INDEX(LPDWATT[IL TRM v9.0 WHFe],MATCH(I28,LPDWATT[Building Area Type],0))))</f>
        <v/>
      </c>
      <c r="BD28" s="843" t="str">
        <f>IF(I28="","",INDEX(LPDWATT[EUL],MATCH(I28,LPDWATT[Building Area Type],0)))</f>
        <v/>
      </c>
      <c r="BE28" s="845" t="str">
        <f>IF(I28="","",IF(AND(INDEX(LPDWATT[[End Use ]],MATCH(I28,LPDWATT[Building Area Type],0))="Ext Lighting w/ Peak ",R28=8760),"Ext Lighting w/Peak ",INDEX(LPDWATT[[End Use ]],MATCH(I28,LPDWATT[Building Area Type],0))))</f>
        <v/>
      </c>
      <c r="BF28" s="847" t="str">
        <f>IFERROR(IF(OR(O28="",I28="",T28="",V28="",R28="",C28="",Y28="",AA28="",AF28=""),"",ROUND(AK28*INDEX(ENDUSEALL[Factor],MATCH(BE28,ENDUSEALL[End Use to Coincident Peak Demand Factors],0)),4)),"")</f>
        <v/>
      </c>
      <c r="BG28" s="829"/>
      <c r="BH28" s="787" t="str">
        <f>IFERROR(ROUND((V28-AA28)*NCLIGHTINGRATE,2),"")</f>
        <v/>
      </c>
      <c r="BI28" s="839" t="str">
        <f>IFERROR(BH28/AK28,"")</f>
        <v/>
      </c>
      <c r="BJ28" s="841" t="str">
        <f>IFERROR(1-(Y28/T28),"")</f>
        <v/>
      </c>
      <c r="BK28" s="787" t="str">
        <f>IFERROR(IF(OR(BJ28="",BJ28&lt;=0),"",IF(BJ28&lt;=0.2, O28*INDEX(NCLIGHTINCCOST[WI Incremental Cost ($/sq ft)],MATCH(0.2,NCLIGHTINCCOST[% below code],0)),IF(AND(BJ28&gt;0.2,BJ28&lt;0.4),O28*INDEX(NCLIGHTINCCOST[WI Incremental Cost ($/sq ft)],MATCH(0.3,NCLIGHTINCCOST[% below code],0)), IF(BJ28&gt;=0.4,O28*INDEX(NCLIGHTINCCOST[WI Incremental Cost ($/sq ft)],MATCH(0.4,NCLIGHTINCCOST[% below code],0)),0)))),"")</f>
        <v/>
      </c>
      <c r="BL28" s="829"/>
      <c r="BM28" s="815" t="str">
        <f>IFERROR(IF(OR(O28="",I28="",T28="",V28="",R28="",C28="",Y28="",AA28="",AF28=""),"",IF(BO28&lt;&gt;"",SPILLOVERNUMBER,IF(ISNUMBER(SEARCH("Exterior",I28)),EXTLPDNUMBER,INTLPDNUMBER))),"")</f>
        <v/>
      </c>
      <c r="BN28" s="815" t="str">
        <f>IFERROR(IF(ROUND(AN28/AF28,2)=0.5,"Cost Cap at 50%",
IF(BL28&lt;&gt;"","Bonus Incentive",
"NC Incentive")),"")</f>
        <v/>
      </c>
      <c r="BO28" s="815" t="str">
        <f ca="1">IFERROR(IF(EXPIRATION&lt;&gt;"",PROJSTATEXP,
IF(I28="Grow Facility","Enter Under Grow Facility tab",
IF(OR(N02S03F17="",N02S03F19=""),MEASURESITE,
IF(OR(N02S03F14="",N02S03F14="Select Rate Code",N02S03F14=0),MEASURERATE,
IF(AA28=0,MEASURESTEP1,
IF((BB28-BC28)&lt;=0,MEASURESAVE,
IF(BJ28&lt;=0.1,MEASURELPD,
IF(AND(AD28="",BK28&gt;(AF28*0.6)),"Enter Baseline Cost",
IF(AH28&lt;=0,MEASUREINCR,""))))))))),MEASURESUBMIT)</f>
        <v>Enter Site City &amp; Zip (Building Tab)</v>
      </c>
      <c r="BP28" s="787" t="str">
        <f>IFERROR(IF(OR(O28="",I28="",T28="",V28="",R28="",C28="",Y28="",AA28="",AF28=""),"",ROUND(((1+ELOSS)*((AK28*INDEX(ELECCB[NPV AEC $/kWh],MATCH(BD28,ELECCB[Year Number],1)))+(BF28*INDEX(ELECCB[NPV ACC $/kW],MATCH(BD28,ELECCB[Year Number],1))))),2)),0)</f>
        <v/>
      </c>
      <c r="BQ28" s="853"/>
    </row>
    <row r="29" spans="2:69" ht="15.95" customHeight="1">
      <c r="B29" s="800"/>
      <c r="C29" s="805"/>
      <c r="D29" s="806"/>
      <c r="E29" s="806"/>
      <c r="F29" s="806"/>
      <c r="G29" s="806"/>
      <c r="H29" s="806"/>
      <c r="I29" s="805"/>
      <c r="J29" s="806"/>
      <c r="K29" s="806"/>
      <c r="L29" s="806"/>
      <c r="M29" s="806"/>
      <c r="N29" s="806"/>
      <c r="O29" s="802"/>
      <c r="P29" s="802"/>
      <c r="Q29" s="802"/>
      <c r="R29" s="814"/>
      <c r="S29" s="814"/>
      <c r="T29" s="809"/>
      <c r="U29" s="810"/>
      <c r="V29" s="811"/>
      <c r="W29" s="811"/>
      <c r="X29" s="812"/>
      <c r="Y29" s="810"/>
      <c r="Z29" s="810"/>
      <c r="AA29" s="811"/>
      <c r="AB29" s="811"/>
      <c r="AC29" s="812"/>
      <c r="AD29" s="818"/>
      <c r="AE29" s="818"/>
      <c r="AF29" s="821"/>
      <c r="AG29" s="822"/>
      <c r="AH29" s="825"/>
      <c r="AI29" s="826"/>
      <c r="AJ29" s="826"/>
      <c r="AK29" s="832"/>
      <c r="AL29" s="832"/>
      <c r="AM29" s="832"/>
      <c r="AN29" s="834"/>
      <c r="AO29" s="834"/>
      <c r="AP29" s="834"/>
      <c r="AQ29" s="834"/>
      <c r="AY29" s="836"/>
      <c r="AZ29" s="836"/>
      <c r="BA29" s="816"/>
      <c r="BB29" s="850"/>
      <c r="BC29" s="850"/>
      <c r="BD29" s="844"/>
      <c r="BE29" s="846"/>
      <c r="BF29" s="848"/>
      <c r="BG29" s="830"/>
      <c r="BH29" s="788"/>
      <c r="BI29" s="840"/>
      <c r="BJ29" s="842"/>
      <c r="BK29" s="788"/>
      <c r="BL29" s="830"/>
      <c r="BM29" s="816"/>
      <c r="BN29" s="816"/>
      <c r="BO29" s="816"/>
      <c r="BP29" s="788"/>
      <c r="BQ29" s="854"/>
    </row>
    <row r="30" spans="2:69" ht="15.95" customHeight="1">
      <c r="AD30" s="221"/>
      <c r="AE30" s="221"/>
      <c r="AF30" s="221"/>
      <c r="AG30" s="221"/>
      <c r="BB30" s="220"/>
      <c r="BC30" s="220"/>
      <c r="BH30" s="220"/>
      <c r="BJ30" s="220"/>
      <c r="BK30" s="220"/>
      <c r="BL30" s="220"/>
    </row>
    <row r="31" spans="2:69" ht="15.95" hidden="1" customHeight="1">
      <c r="AD31" s="221"/>
      <c r="AE31" s="221"/>
      <c r="AF31" s="221"/>
      <c r="AG31" s="221"/>
      <c r="BB31" s="220"/>
      <c r="BC31" s="220"/>
      <c r="BH31" s="220"/>
      <c r="BJ31" s="220"/>
      <c r="BK31" s="220"/>
      <c r="BL31" s="220"/>
    </row>
    <row r="32" spans="2:69" ht="15.95" hidden="1" customHeight="1">
      <c r="AD32" s="221"/>
      <c r="AE32" s="221"/>
      <c r="AF32" s="221"/>
      <c r="AG32" s="221"/>
      <c r="BB32" s="220"/>
      <c r="BC32" s="220"/>
      <c r="BH32" s="220"/>
      <c r="BJ32" s="220"/>
      <c r="BK32" s="220"/>
      <c r="BL32" s="220"/>
    </row>
    <row r="33" spans="30:64" ht="15.95" hidden="1" customHeight="1">
      <c r="AD33" s="221"/>
      <c r="AE33" s="221"/>
      <c r="AF33" s="221"/>
      <c r="AG33" s="221"/>
      <c r="BB33" s="220"/>
      <c r="BC33" s="220"/>
      <c r="BH33" s="220"/>
      <c r="BJ33" s="220"/>
      <c r="BK33" s="220"/>
      <c r="BL33" s="220"/>
    </row>
    <row r="34" spans="30:64" ht="15.95" hidden="1" customHeight="1">
      <c r="AD34" s="221"/>
      <c r="AE34" s="221"/>
      <c r="AF34" s="221"/>
      <c r="AG34" s="221"/>
      <c r="BB34" s="220"/>
      <c r="BC34" s="220"/>
      <c r="BH34" s="220"/>
      <c r="BJ34" s="220"/>
      <c r="BK34" s="220"/>
      <c r="BL34" s="220"/>
    </row>
    <row r="35" spans="30:64" ht="15.95" hidden="1" customHeight="1">
      <c r="AD35" s="221"/>
      <c r="AE35" s="221"/>
      <c r="AF35" s="221"/>
      <c r="AG35" s="221"/>
      <c r="BB35" s="220"/>
      <c r="BC35" s="220"/>
      <c r="BH35" s="220"/>
      <c r="BJ35" s="220"/>
      <c r="BK35" s="220"/>
      <c r="BL35" s="220"/>
    </row>
    <row r="36" spans="30:64" ht="15.95" hidden="1" customHeight="1">
      <c r="AD36" s="221"/>
      <c r="AE36" s="221"/>
      <c r="AF36" s="221"/>
      <c r="AG36" s="221"/>
      <c r="BB36" s="220"/>
      <c r="BC36" s="220"/>
      <c r="BH36" s="220"/>
      <c r="BJ36" s="220"/>
      <c r="BK36" s="220"/>
      <c r="BL36" s="220"/>
    </row>
    <row r="37" spans="30:64" ht="15.95" hidden="1" customHeight="1">
      <c r="AD37" s="221"/>
      <c r="AE37" s="221"/>
      <c r="AF37" s="221"/>
      <c r="AG37" s="221"/>
      <c r="BB37" s="220"/>
      <c r="BC37" s="220"/>
      <c r="BH37" s="220"/>
      <c r="BJ37" s="220"/>
      <c r="BK37" s="220"/>
      <c r="BL37" s="220"/>
    </row>
    <row r="38" spans="30:64" ht="15.95" hidden="1" customHeight="1">
      <c r="BB38" s="220"/>
      <c r="BC38" s="220"/>
    </row>
    <row r="39" spans="30:64" ht="15.95" hidden="1" customHeight="1">
      <c r="BB39" s="220"/>
      <c r="BC39" s="220"/>
    </row>
    <row r="40" spans="30:64" ht="15.95" hidden="1" customHeight="1">
      <c r="BB40" s="220"/>
      <c r="BC40" s="220"/>
    </row>
    <row r="41" spans="30:64" ht="15.95" hidden="1" customHeight="1">
      <c r="BB41" s="220"/>
      <c r="BC41" s="220"/>
    </row>
    <row r="42" spans="30:64" ht="15.95" hidden="1" customHeight="1">
      <c r="BB42" s="220"/>
      <c r="BC42" s="220"/>
    </row>
    <row r="43" spans="30:64" ht="15.95" hidden="1" customHeight="1">
      <c r="BB43" s="220"/>
      <c r="BC43" s="220"/>
    </row>
    <row r="44" spans="30:64" ht="15.95" hidden="1" customHeight="1">
      <c r="BB44" s="220"/>
      <c r="BC44" s="220"/>
    </row>
    <row r="45" spans="30:64" ht="15.95" hidden="1" customHeight="1">
      <c r="BB45" s="220"/>
      <c r="BC45" s="220"/>
    </row>
    <row r="46" spans="30:64" ht="15.95" hidden="1" customHeight="1">
      <c r="BB46" s="220"/>
      <c r="BC46" s="220"/>
    </row>
    <row r="47" spans="30:64" ht="15.95" hidden="1" customHeight="1">
      <c r="BB47" s="220"/>
      <c r="BC47" s="220"/>
    </row>
    <row r="48" spans="30:64" ht="15.95" hidden="1" customHeight="1">
      <c r="BB48" s="220"/>
      <c r="BC48" s="220"/>
    </row>
    <row r="49" spans="54:55" ht="15.95" hidden="1" customHeight="1">
      <c r="BB49" s="220"/>
      <c r="BC49" s="220"/>
    </row>
    <row r="50" spans="54:55" ht="15.95" hidden="1" customHeight="1">
      <c r="BB50" s="220"/>
      <c r="BC50" s="220"/>
    </row>
    <row r="51" spans="54:55" ht="15.95" hidden="1" customHeight="1">
      <c r="BB51" s="220"/>
      <c r="BC51" s="220"/>
    </row>
    <row r="52" spans="54:55" ht="15.95" hidden="1" customHeight="1">
      <c r="BB52" s="220"/>
      <c r="BC52" s="220"/>
    </row>
    <row r="53" spans="54:55" ht="15.95" hidden="1" customHeight="1">
      <c r="BB53" s="220"/>
      <c r="BC53" s="220"/>
    </row>
    <row r="54" spans="54:55" ht="15.95" hidden="1" customHeight="1">
      <c r="BB54" s="220"/>
      <c r="BC54" s="220"/>
    </row>
    <row r="55" spans="54:55" ht="15.95" hidden="1" customHeight="1">
      <c r="BB55" s="220"/>
      <c r="BC55" s="220"/>
    </row>
    <row r="56" spans="54:55" ht="15.95" hidden="1" customHeight="1">
      <c r="BB56" s="220"/>
      <c r="BC56" s="220"/>
    </row>
    <row r="57" spans="54:55" ht="15.95" hidden="1" customHeight="1">
      <c r="BB57" s="220"/>
      <c r="BC57" s="220"/>
    </row>
    <row r="58" spans="54:55" ht="15.95" hidden="1" customHeight="1">
      <c r="BB58" s="220"/>
      <c r="BC58" s="220"/>
    </row>
    <row r="59" spans="54:55" ht="15.95" hidden="1" customHeight="1">
      <c r="BB59" s="220"/>
      <c r="BC59" s="220"/>
    </row>
    <row r="60" spans="54:55" ht="15.95" hidden="1" customHeight="1">
      <c r="BB60" s="220"/>
      <c r="BC60" s="220"/>
    </row>
    <row r="61" spans="54:55" ht="15.95" hidden="1" customHeight="1">
      <c r="BB61" s="220"/>
      <c r="BC61" s="220"/>
    </row>
    <row r="62" spans="54:55" ht="15.95" hidden="1" customHeight="1">
      <c r="BB62" s="220"/>
      <c r="BC62" s="220"/>
    </row>
    <row r="63" spans="54:55" ht="15.95" hidden="1" customHeight="1">
      <c r="BB63" s="220"/>
      <c r="BC63" s="220"/>
    </row>
    <row r="64" spans="54:55" ht="15.95" hidden="1" customHeight="1">
      <c r="BB64" s="220"/>
      <c r="BC64" s="220"/>
    </row>
    <row r="65" spans="54:55" ht="15.95" hidden="1" customHeight="1">
      <c r="BB65" s="220"/>
      <c r="BC65" s="220"/>
    </row>
    <row r="66" spans="54:55" ht="15.95" hidden="1" customHeight="1">
      <c r="BB66" s="220"/>
      <c r="BC66" s="220"/>
    </row>
    <row r="67" spans="54:55" ht="15.95" hidden="1" customHeight="1">
      <c r="BB67" s="220"/>
      <c r="BC67" s="220"/>
    </row>
    <row r="68" spans="54:55" ht="15.95" hidden="1" customHeight="1">
      <c r="BB68" s="220"/>
      <c r="BC68" s="220"/>
    </row>
    <row r="69" spans="54:55" ht="15.95" hidden="1" customHeight="1">
      <c r="BB69" s="220"/>
      <c r="BC69" s="220"/>
    </row>
    <row r="70" spans="54:55" ht="15.95" hidden="1" customHeight="1">
      <c r="BB70" s="220"/>
      <c r="BC70" s="220"/>
    </row>
    <row r="71" spans="54:55" ht="15.95" hidden="1" customHeight="1">
      <c r="BB71" s="220"/>
      <c r="BC71" s="220"/>
    </row>
    <row r="72" spans="54:55" ht="15.95" hidden="1" customHeight="1">
      <c r="BB72" s="220"/>
      <c r="BC72" s="220"/>
    </row>
    <row r="73" spans="54:55" ht="15.95" hidden="1" customHeight="1">
      <c r="BB73" s="220"/>
      <c r="BC73" s="220"/>
    </row>
    <row r="74" spans="54:55" ht="15.95" hidden="1" customHeight="1">
      <c r="BB74" s="220"/>
      <c r="BC74" s="220"/>
    </row>
    <row r="75" spans="54:55" ht="15.95" hidden="1" customHeight="1">
      <c r="BB75" s="220"/>
      <c r="BC75" s="220"/>
    </row>
    <row r="76" spans="54:55" ht="15.95" hidden="1" customHeight="1">
      <c r="BB76" s="220"/>
      <c r="BC76" s="220"/>
    </row>
    <row r="77" spans="54:55" ht="15.95" hidden="1" customHeight="1">
      <c r="BB77" s="220"/>
      <c r="BC77" s="220"/>
    </row>
    <row r="78" spans="54:55" ht="15.95" hidden="1" customHeight="1">
      <c r="BB78" s="220"/>
      <c r="BC78" s="220"/>
    </row>
    <row r="79" spans="54:55" ht="15.95" hidden="1" customHeight="1">
      <c r="BB79" s="220"/>
      <c r="BC79" s="220"/>
    </row>
    <row r="80" spans="54:55" ht="15.95" hidden="1" customHeight="1">
      <c r="BB80" s="220"/>
      <c r="BC80" s="220"/>
    </row>
    <row r="81" spans="54:55" ht="15.95" hidden="1" customHeight="1">
      <c r="BB81" s="220"/>
      <c r="BC81" s="220"/>
    </row>
    <row r="82" spans="54:55" ht="15.95" hidden="1" customHeight="1">
      <c r="BB82" s="220"/>
      <c r="BC82" s="220"/>
    </row>
    <row r="83" spans="54:55" ht="15.95" hidden="1" customHeight="1">
      <c r="BB83" s="220"/>
      <c r="BC83" s="220"/>
    </row>
    <row r="84" spans="54:55" ht="15.95" hidden="1" customHeight="1">
      <c r="BB84" s="220"/>
      <c r="BC84" s="220"/>
    </row>
    <row r="85" spans="54:55" ht="15.95" hidden="1" customHeight="1">
      <c r="BB85" s="220"/>
      <c r="BC85" s="220"/>
    </row>
    <row r="86" spans="54:55" ht="15.95" hidden="1" customHeight="1">
      <c r="BB86" s="220"/>
      <c r="BC86" s="220"/>
    </row>
    <row r="87" spans="54:55" ht="15.95" hidden="1" customHeight="1">
      <c r="BB87" s="220"/>
      <c r="BC87" s="220"/>
    </row>
    <row r="88" spans="54:55" ht="15.95" hidden="1" customHeight="1">
      <c r="BB88" s="220"/>
      <c r="BC88" s="220"/>
    </row>
    <row r="89" spans="54:55" ht="15.95" hidden="1" customHeight="1">
      <c r="BB89" s="220"/>
      <c r="BC89" s="220"/>
    </row>
    <row r="90" spans="54:55" ht="15.95" hidden="1" customHeight="1">
      <c r="BB90" s="220"/>
      <c r="BC90" s="220"/>
    </row>
    <row r="91" spans="54:55" ht="15.95" hidden="1" customHeight="1">
      <c r="BB91" s="220"/>
      <c r="BC91" s="220"/>
    </row>
    <row r="92" spans="54:55" ht="15.95" hidden="1" customHeight="1">
      <c r="BB92" s="220"/>
      <c r="BC92" s="220"/>
    </row>
    <row r="93" spans="54:55" ht="15.95" hidden="1" customHeight="1">
      <c r="BB93" s="220"/>
      <c r="BC93" s="220"/>
    </row>
    <row r="94" spans="54:55" ht="15.95" hidden="1" customHeight="1">
      <c r="BB94" s="220"/>
      <c r="BC94" s="220"/>
    </row>
    <row r="95" spans="54:55" ht="15.95" hidden="1" customHeight="1">
      <c r="BB95" s="220"/>
      <c r="BC95" s="220"/>
    </row>
    <row r="96" spans="54:55" ht="15.95" hidden="1" customHeight="1">
      <c r="BB96" s="220"/>
      <c r="BC96" s="220"/>
    </row>
    <row r="97" spans="54:55" ht="15.95" hidden="1" customHeight="1">
      <c r="BB97" s="220"/>
      <c r="BC97" s="220"/>
    </row>
    <row r="98" spans="54:55" ht="15.95" hidden="1" customHeight="1">
      <c r="BB98" s="220"/>
      <c r="BC98" s="220"/>
    </row>
    <row r="99" spans="54:55" ht="15.95" hidden="1" customHeight="1">
      <c r="BB99" s="220"/>
      <c r="BC99" s="220"/>
    </row>
    <row r="100" spans="54:55" ht="15.95" hidden="1" customHeight="1">
      <c r="BB100" s="220"/>
      <c r="BC100" s="220"/>
    </row>
    <row r="101" spans="54:55" ht="15.95" hidden="1" customHeight="1">
      <c r="BB101" s="220"/>
      <c r="BC101" s="220"/>
    </row>
    <row r="102" spans="54:55" ht="15.95" hidden="1" customHeight="1">
      <c r="BB102" s="220"/>
      <c r="BC102" s="220"/>
    </row>
    <row r="103" spans="54:55" ht="15.95" hidden="1" customHeight="1">
      <c r="BB103" s="220"/>
      <c r="BC103" s="220"/>
    </row>
    <row r="104" spans="54:55" ht="15.95" hidden="1" customHeight="1">
      <c r="BB104" s="220"/>
      <c r="BC104" s="220"/>
    </row>
    <row r="105" spans="54:55" ht="15.95" hidden="1" customHeight="1">
      <c r="BB105" s="220"/>
      <c r="BC105" s="220"/>
    </row>
    <row r="106" spans="54:55" ht="15.95" hidden="1" customHeight="1">
      <c r="BB106" s="220"/>
      <c r="BC106" s="220"/>
    </row>
    <row r="107" spans="54:55" ht="15.95" hidden="1" customHeight="1">
      <c r="BB107" s="220"/>
      <c r="BC107" s="220"/>
    </row>
    <row r="108" spans="54:55" ht="15.95" hidden="1" customHeight="1">
      <c r="BB108" s="220"/>
      <c r="BC108" s="220"/>
    </row>
    <row r="109" spans="54:55" ht="15.95" hidden="1" customHeight="1">
      <c r="BB109" s="220"/>
      <c r="BC109" s="220"/>
    </row>
    <row r="110" spans="54:55" ht="15.95" hidden="1" customHeight="1">
      <c r="BB110" s="220"/>
      <c r="BC110" s="220"/>
    </row>
    <row r="111" spans="54:55" ht="15.95" hidden="1" customHeight="1">
      <c r="BB111" s="220"/>
      <c r="BC111" s="220"/>
    </row>
    <row r="112" spans="54:55" ht="15.95" hidden="1" customHeight="1">
      <c r="BB112" s="220"/>
      <c r="BC112" s="220"/>
    </row>
    <row r="113" spans="54:55" ht="15.95" hidden="1" customHeight="1">
      <c r="BB113" s="220"/>
      <c r="BC113" s="220"/>
    </row>
    <row r="114" spans="54:55" ht="15.95" hidden="1" customHeight="1">
      <c r="BB114" s="220"/>
      <c r="BC114" s="220"/>
    </row>
    <row r="115" spans="54:55" ht="15.95" hidden="1" customHeight="1">
      <c r="BB115" s="220"/>
      <c r="BC115" s="220"/>
    </row>
    <row r="116" spans="54:55" ht="15.95" hidden="1" customHeight="1">
      <c r="BB116" s="220"/>
      <c r="BC116" s="220"/>
    </row>
    <row r="117" spans="54:55" ht="15.95" hidden="1" customHeight="1">
      <c r="BB117" s="220"/>
      <c r="BC117" s="220"/>
    </row>
    <row r="118" spans="54:55" ht="15.95" hidden="1" customHeight="1">
      <c r="BB118" s="220"/>
      <c r="BC118" s="220"/>
    </row>
    <row r="119" spans="54:55" ht="15.95" hidden="1" customHeight="1">
      <c r="BB119" s="220"/>
      <c r="BC119" s="220"/>
    </row>
    <row r="120" spans="54:55" ht="15.95" hidden="1" customHeight="1">
      <c r="BB120" s="220"/>
      <c r="BC120" s="220"/>
    </row>
    <row r="121" spans="54:55" ht="15.95" hidden="1" customHeight="1">
      <c r="BB121" s="220"/>
      <c r="BC121" s="220"/>
    </row>
    <row r="122" spans="54:55" ht="15.95" hidden="1" customHeight="1">
      <c r="BB122" s="220"/>
      <c r="BC122" s="220"/>
    </row>
    <row r="123" spans="54:55" ht="15.95" hidden="1" customHeight="1">
      <c r="BB123" s="220"/>
      <c r="BC123" s="220"/>
    </row>
    <row r="124" spans="54:55" ht="15.95" hidden="1" customHeight="1">
      <c r="BB124" s="220"/>
      <c r="BC124" s="220"/>
    </row>
    <row r="125" spans="54:55" ht="15.95" hidden="1" customHeight="1">
      <c r="BB125" s="220"/>
      <c r="BC125" s="220"/>
    </row>
    <row r="126" spans="54:55" ht="15.95" hidden="1" customHeight="1">
      <c r="BB126" s="220"/>
      <c r="BC126" s="220"/>
    </row>
    <row r="127" spans="54:55" ht="15.95" hidden="1" customHeight="1">
      <c r="BB127" s="220"/>
      <c r="BC127" s="220"/>
    </row>
    <row r="128" spans="54:55" ht="15.95" hidden="1" customHeight="1">
      <c r="BB128" s="220"/>
      <c r="BC128" s="220"/>
    </row>
    <row r="129" spans="54:55" ht="15.95" hidden="1" customHeight="1">
      <c r="BB129" s="220"/>
      <c r="BC129" s="220"/>
    </row>
    <row r="130" spans="54:55" ht="15.95" hidden="1" customHeight="1">
      <c r="BB130" s="220"/>
      <c r="BC130" s="220"/>
    </row>
    <row r="131" spans="54:55" ht="15.95" hidden="1" customHeight="1">
      <c r="BB131" s="220"/>
      <c r="BC131" s="220"/>
    </row>
    <row r="132" spans="54:55" ht="15.95" hidden="1" customHeight="1">
      <c r="BB132" s="220"/>
      <c r="BC132" s="220"/>
    </row>
    <row r="133" spans="54:55" ht="15.95" hidden="1" customHeight="1">
      <c r="BB133" s="220"/>
      <c r="BC133" s="220"/>
    </row>
    <row r="134" spans="54:55" ht="15.95" hidden="1" customHeight="1">
      <c r="BB134" s="220"/>
      <c r="BC134" s="220"/>
    </row>
    <row r="135" spans="54:55" ht="15.95" hidden="1" customHeight="1">
      <c r="BB135" s="220"/>
      <c r="BC135" s="220"/>
    </row>
    <row r="136" spans="54:55" ht="15.95" hidden="1" customHeight="1">
      <c r="BB136" s="220"/>
      <c r="BC136" s="220"/>
    </row>
    <row r="137" spans="54:55" ht="15.95" hidden="1" customHeight="1">
      <c r="BB137" s="220"/>
      <c r="BC137" s="220"/>
    </row>
    <row r="138" spans="54:55" ht="15.95" hidden="1" customHeight="1">
      <c r="BB138" s="220"/>
      <c r="BC138" s="220"/>
    </row>
    <row r="139" spans="54:55" ht="15.95" hidden="1" customHeight="1">
      <c r="BB139" s="220"/>
      <c r="BC139" s="220"/>
    </row>
    <row r="140" spans="54:55" ht="15.95" hidden="1" customHeight="1">
      <c r="BB140" s="220"/>
      <c r="BC140" s="220"/>
    </row>
    <row r="141" spans="54:55" ht="15.95" hidden="1" customHeight="1">
      <c r="BB141" s="220"/>
      <c r="BC141" s="220"/>
    </row>
    <row r="142" spans="54:55" ht="15.95" hidden="1" customHeight="1">
      <c r="BB142" s="220"/>
      <c r="BC142" s="220"/>
    </row>
    <row r="143" spans="54:55" ht="15.95" hidden="1" customHeight="1">
      <c r="BB143" s="220"/>
      <c r="BC143" s="220"/>
    </row>
    <row r="144" spans="54:55" ht="15.95" hidden="1" customHeight="1">
      <c r="BB144" s="220"/>
      <c r="BC144" s="220"/>
    </row>
    <row r="145" spans="54:55" ht="15.95" hidden="1" customHeight="1">
      <c r="BB145" s="220"/>
      <c r="BC145" s="220"/>
    </row>
    <row r="146" spans="54:55" ht="15.95" hidden="1" customHeight="1">
      <c r="BB146" s="220"/>
      <c r="BC146" s="220"/>
    </row>
    <row r="147" spans="54:55" ht="15.95" hidden="1" customHeight="1">
      <c r="BB147" s="220"/>
      <c r="BC147" s="220"/>
    </row>
    <row r="148" spans="54:55" ht="15.95" hidden="1" customHeight="1">
      <c r="BB148" s="220"/>
      <c r="BC148" s="220"/>
    </row>
    <row r="149" spans="54:55" ht="15.95" hidden="1" customHeight="1">
      <c r="BB149" s="220"/>
      <c r="BC149" s="220"/>
    </row>
    <row r="150" spans="54:55" ht="15.95" hidden="1" customHeight="1">
      <c r="BB150" s="220"/>
      <c r="BC150" s="220"/>
    </row>
    <row r="151" spans="54:55" ht="15.95" hidden="1" customHeight="1">
      <c r="BB151" s="220"/>
      <c r="BC151" s="220"/>
    </row>
    <row r="152" spans="54:55" ht="15.95" hidden="1" customHeight="1">
      <c r="BB152" s="220"/>
      <c r="BC152" s="220"/>
    </row>
    <row r="153" spans="54:55" ht="15.95" hidden="1" customHeight="1">
      <c r="BB153" s="220"/>
      <c r="BC153" s="220"/>
    </row>
    <row r="154" spans="54:55" ht="15.95" hidden="1" customHeight="1">
      <c r="BB154" s="220"/>
      <c r="BC154" s="220"/>
    </row>
    <row r="155" spans="54:55" ht="15.95" hidden="1" customHeight="1">
      <c r="BB155" s="220"/>
      <c r="BC155" s="220"/>
    </row>
    <row r="156" spans="54:55" ht="15.95" hidden="1" customHeight="1">
      <c r="BB156" s="220"/>
      <c r="BC156" s="220"/>
    </row>
    <row r="157" spans="54:55" ht="15.95" hidden="1" customHeight="1">
      <c r="BB157" s="220"/>
      <c r="BC157" s="220"/>
    </row>
    <row r="158" spans="54:55" ht="15.95" hidden="1" customHeight="1">
      <c r="BB158" s="220"/>
      <c r="BC158" s="220"/>
    </row>
    <row r="159" spans="54:55" ht="15.95" hidden="1" customHeight="1">
      <c r="BB159" s="220"/>
      <c r="BC159" s="220"/>
    </row>
    <row r="160" spans="54:55" ht="15.95" hidden="1" customHeight="1">
      <c r="BB160" s="220"/>
      <c r="BC160" s="220"/>
    </row>
    <row r="161" spans="54:55" ht="15.95" hidden="1" customHeight="1">
      <c r="BB161" s="220"/>
      <c r="BC161" s="220"/>
    </row>
    <row r="162" spans="54:55" ht="15.95" hidden="1" customHeight="1">
      <c r="BB162" s="220"/>
      <c r="BC162" s="220"/>
    </row>
    <row r="163" spans="54:55" ht="15.95" hidden="1" customHeight="1">
      <c r="BB163" s="220"/>
      <c r="BC163" s="220"/>
    </row>
    <row r="164" spans="54:55" ht="15.95" hidden="1" customHeight="1">
      <c r="BB164" s="220"/>
      <c r="BC164" s="220"/>
    </row>
    <row r="165" spans="54:55" ht="15.95" hidden="1" customHeight="1">
      <c r="BB165" s="220"/>
      <c r="BC165" s="220"/>
    </row>
    <row r="166" spans="54:55" ht="15.95" hidden="1" customHeight="1">
      <c r="BB166" s="220"/>
      <c r="BC166" s="220"/>
    </row>
    <row r="167" spans="54:55" ht="15.95" hidden="1" customHeight="1">
      <c r="BB167" s="220"/>
      <c r="BC167" s="220"/>
    </row>
    <row r="168" spans="54:55" ht="15.95" hidden="1" customHeight="1">
      <c r="BB168" s="220"/>
      <c r="BC168" s="220"/>
    </row>
    <row r="169" spans="54:55" ht="15.95" hidden="1" customHeight="1">
      <c r="BB169" s="220"/>
      <c r="BC169" s="220"/>
    </row>
    <row r="170" spans="54:55" ht="15.95" hidden="1" customHeight="1">
      <c r="BB170" s="220"/>
      <c r="BC170" s="220"/>
    </row>
    <row r="171" spans="54:55" ht="15.95" hidden="1" customHeight="1">
      <c r="BB171" s="220"/>
      <c r="BC171" s="220"/>
    </row>
    <row r="172" spans="54:55" ht="15.95" hidden="1" customHeight="1">
      <c r="BB172" s="220"/>
      <c r="BC172" s="220"/>
    </row>
    <row r="173" spans="54:55" ht="15.95" hidden="1" customHeight="1">
      <c r="BB173" s="220"/>
      <c r="BC173" s="220"/>
    </row>
    <row r="174" spans="54:55" ht="15.95" hidden="1" customHeight="1">
      <c r="BB174" s="220"/>
      <c r="BC174" s="220"/>
    </row>
    <row r="175" spans="54:55" ht="15.95" hidden="1" customHeight="1">
      <c r="BB175" s="220"/>
      <c r="BC175" s="220"/>
    </row>
    <row r="176" spans="54:55" ht="15.95" hidden="1" customHeight="1">
      <c r="BB176" s="220"/>
      <c r="BC176" s="220"/>
    </row>
    <row r="177" spans="54:55" ht="15.95" hidden="1" customHeight="1">
      <c r="BB177" s="220"/>
      <c r="BC177" s="220"/>
    </row>
    <row r="178" spans="54:55" ht="15.95" hidden="1" customHeight="1">
      <c r="BB178" s="220"/>
      <c r="BC178" s="220"/>
    </row>
    <row r="179" spans="54:55" ht="15.95" hidden="1" customHeight="1">
      <c r="BB179" s="220"/>
      <c r="BC179" s="220"/>
    </row>
    <row r="180" spans="54:55" ht="15.95" hidden="1" customHeight="1">
      <c r="BB180" s="220"/>
      <c r="BC180" s="220"/>
    </row>
    <row r="181" spans="54:55" ht="15.95" hidden="1" customHeight="1">
      <c r="BB181" s="220"/>
      <c r="BC181" s="220"/>
    </row>
    <row r="182" spans="54:55" ht="15.95" hidden="1" customHeight="1">
      <c r="BB182" s="220"/>
      <c r="BC182" s="220"/>
    </row>
    <row r="183" spans="54:55" ht="15.95" hidden="1" customHeight="1">
      <c r="BB183" s="220"/>
      <c r="BC183" s="220"/>
    </row>
    <row r="184" spans="54:55" ht="15.95" hidden="1" customHeight="1">
      <c r="BB184" s="220"/>
      <c r="BC184" s="220"/>
    </row>
    <row r="185" spans="54:55" ht="15.95" hidden="1" customHeight="1">
      <c r="BB185" s="220"/>
      <c r="BC185" s="220"/>
    </row>
    <row r="186" spans="54:55" ht="15.95" hidden="1" customHeight="1">
      <c r="BB186" s="220"/>
      <c r="BC186" s="220"/>
    </row>
    <row r="187" spans="54:55" ht="15.95" hidden="1" customHeight="1">
      <c r="BB187" s="220"/>
      <c r="BC187" s="220"/>
    </row>
    <row r="188" spans="54:55" ht="15.95" hidden="1" customHeight="1">
      <c r="BB188" s="220"/>
      <c r="BC188" s="220"/>
    </row>
    <row r="189" spans="54:55" ht="15.95" hidden="1" customHeight="1">
      <c r="BB189" s="220"/>
      <c r="BC189" s="220"/>
    </row>
    <row r="190" spans="54:55" ht="15.95" hidden="1" customHeight="1">
      <c r="BB190" s="220"/>
      <c r="BC190" s="220"/>
    </row>
    <row r="191" spans="54:55" ht="15.95" hidden="1" customHeight="1">
      <c r="BB191" s="220"/>
      <c r="BC191" s="220"/>
    </row>
    <row r="192" spans="54:55" ht="15.95" hidden="1" customHeight="1">
      <c r="BB192" s="220"/>
      <c r="BC192" s="220"/>
    </row>
    <row r="193" spans="1:58" ht="15.95" hidden="1" customHeight="1">
      <c r="BB193" s="220"/>
      <c r="BC193" s="220"/>
    </row>
    <row r="194" spans="1:58" ht="15.95" hidden="1" customHeight="1">
      <c r="BB194" s="220"/>
      <c r="BC194" s="220"/>
    </row>
    <row r="195" spans="1:58" ht="15.95" hidden="1" customHeight="1">
      <c r="BB195" s="220"/>
      <c r="BC195" s="220"/>
    </row>
    <row r="196" spans="1:58" ht="15.95" hidden="1" customHeight="1">
      <c r="BB196" s="220"/>
      <c r="BC196" s="220"/>
    </row>
    <row r="197" spans="1:58" ht="15.95" hidden="1" customHeight="1">
      <c r="BB197" s="220"/>
      <c r="BC197" s="220"/>
    </row>
    <row r="198" spans="1:58" ht="15.95" hidden="1" customHeight="1">
      <c r="BB198" s="220"/>
      <c r="BC198" s="220"/>
    </row>
    <row r="199" spans="1:58" ht="15.95" hidden="1" customHeight="1">
      <c r="BB199" s="220"/>
      <c r="BC199" s="220"/>
    </row>
    <row r="200" spans="1:58"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c r="BB200" s="851">
        <f>SUM(BB18:BB37)</f>
        <v>0</v>
      </c>
      <c r="BC200" s="851">
        <f>SUM(BC18:BC37)</f>
        <v>0</v>
      </c>
      <c r="BF200" s="847">
        <f>SUM(BF18:BF37)</f>
        <v>0</v>
      </c>
    </row>
    <row r="201" spans="1:58"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c r="BB201" s="852"/>
      <c r="BC201" s="852"/>
      <c r="BF201" s="848"/>
    </row>
    <row r="202" spans="1:58"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58" ht="15.95" hidden="1" customHeight="1"/>
    <row r="204" spans="1:58" ht="15.95" hidden="1" customHeight="1"/>
    <row r="205" spans="1:58" ht="15.95" hidden="1" customHeight="1"/>
    <row r="206" spans="1:58" ht="15.95" hidden="1" customHeight="1"/>
    <row r="207" spans="1:58" ht="15.95" hidden="1" customHeight="1"/>
    <row r="208" spans="1:58" ht="15.95" hidden="1" customHeight="1"/>
  </sheetData>
  <sheetProtection algorithmName="SHA-512" hashValue="O1vWUlosmk5/hOKkv3bZtJPyVCVv1EU87SI46dz69/+AKKIW0DoioCZb5ph30aLW3spv3nBxEv4AgRRI+f7xTg==" saltValue="9U5nhtejArvScpDtGOTJBw==" spinCount="100000" sheet="1" objects="1" scenarios="1" selectLockedCells="1"/>
  <mergeCells count="256">
    <mergeCell ref="BQ16:BQ17"/>
    <mergeCell ref="BQ18:BQ19"/>
    <mergeCell ref="BQ20:BQ21"/>
    <mergeCell ref="BQ22:BQ23"/>
    <mergeCell ref="BQ24:BQ25"/>
    <mergeCell ref="BQ26:BQ27"/>
    <mergeCell ref="BQ28:BQ29"/>
    <mergeCell ref="A8:E8"/>
    <mergeCell ref="AQ8:AU8"/>
    <mergeCell ref="BL28:BL29"/>
    <mergeCell ref="BM28:BM29"/>
    <mergeCell ref="BN28:BN29"/>
    <mergeCell ref="BO28:BO29"/>
    <mergeCell ref="BK28:BK29"/>
    <mergeCell ref="BO26:BO27"/>
    <mergeCell ref="B28:B29"/>
    <mergeCell ref="V28:X29"/>
    <mergeCell ref="R28:S29"/>
    <mergeCell ref="C28:H29"/>
    <mergeCell ref="Y28:Z29"/>
    <mergeCell ref="AA28:AC29"/>
    <mergeCell ref="BI26:BI27"/>
    <mergeCell ref="BJ26:BJ27"/>
    <mergeCell ref="BK26:BK27"/>
    <mergeCell ref="F1:I3"/>
    <mergeCell ref="J1:M3"/>
    <mergeCell ref="O1:AE3"/>
    <mergeCell ref="AL1:AO3"/>
    <mergeCell ref="AP1:AS3"/>
    <mergeCell ref="A5:E6"/>
    <mergeCell ref="AQ5:AU6"/>
    <mergeCell ref="A7:E7"/>
    <mergeCell ref="AQ7:AU7"/>
    <mergeCell ref="M200:AG201"/>
    <mergeCell ref="BB200:BB201"/>
    <mergeCell ref="BC200:BC201"/>
    <mergeCell ref="BF200:BF201"/>
    <mergeCell ref="BF28:BF29"/>
    <mergeCell ref="BG28:BG29"/>
    <mergeCell ref="BH28:BH29"/>
    <mergeCell ref="BI28:BI29"/>
    <mergeCell ref="BJ28:BJ29"/>
    <mergeCell ref="AZ28:AZ29"/>
    <mergeCell ref="BA28:BA29"/>
    <mergeCell ref="BB28:BB29"/>
    <mergeCell ref="BC28:BC29"/>
    <mergeCell ref="BD28:BD29"/>
    <mergeCell ref="BE28:BE29"/>
    <mergeCell ref="AD28:AE29"/>
    <mergeCell ref="AF28:AG29"/>
    <mergeCell ref="AH28:AJ29"/>
    <mergeCell ref="AK28:AM29"/>
    <mergeCell ref="AN28:AQ29"/>
    <mergeCell ref="AY28:AY29"/>
    <mergeCell ref="O28:Q29"/>
    <mergeCell ref="I28:N29"/>
    <mergeCell ref="T28:U29"/>
    <mergeCell ref="BL26:BL27"/>
    <mergeCell ref="BM26:BM27"/>
    <mergeCell ref="BN26:BN27"/>
    <mergeCell ref="BC26:BC27"/>
    <mergeCell ref="BD26:BD27"/>
    <mergeCell ref="BE26:BE27"/>
    <mergeCell ref="BF26:BF27"/>
    <mergeCell ref="BG26:BG27"/>
    <mergeCell ref="BH26:BH27"/>
    <mergeCell ref="AF24:AG25"/>
    <mergeCell ref="AK26:AM27"/>
    <mergeCell ref="AN26:AQ27"/>
    <mergeCell ref="AY26:AY27"/>
    <mergeCell ref="AZ26:AZ27"/>
    <mergeCell ref="BA26:BA27"/>
    <mergeCell ref="BB26:BB27"/>
    <mergeCell ref="C26:H27"/>
    <mergeCell ref="Y26:Z27"/>
    <mergeCell ref="AA26:AC27"/>
    <mergeCell ref="AD26:AE27"/>
    <mergeCell ref="AF26:AG27"/>
    <mergeCell ref="AH26:AJ27"/>
    <mergeCell ref="BF22:BF23"/>
    <mergeCell ref="BL24:BL25"/>
    <mergeCell ref="BM24:BM25"/>
    <mergeCell ref="BN24:BN25"/>
    <mergeCell ref="BO24:BO25"/>
    <mergeCell ref="B26:B27"/>
    <mergeCell ref="O26:Q27"/>
    <mergeCell ref="I26:N27"/>
    <mergeCell ref="T26:U27"/>
    <mergeCell ref="V26:X27"/>
    <mergeCell ref="R26:S27"/>
    <mergeCell ref="BF24:BF25"/>
    <mergeCell ref="BG24:BG25"/>
    <mergeCell ref="BH24:BH25"/>
    <mergeCell ref="BI24:BI25"/>
    <mergeCell ref="BJ24:BJ25"/>
    <mergeCell ref="BK24:BK25"/>
    <mergeCell ref="AZ24:AZ25"/>
    <mergeCell ref="BA24:BA25"/>
    <mergeCell ref="BB24:BB25"/>
    <mergeCell ref="BC24:BC25"/>
    <mergeCell ref="BD24:BD25"/>
    <mergeCell ref="BE24:BE25"/>
    <mergeCell ref="AD24:AE25"/>
    <mergeCell ref="AH22:AJ23"/>
    <mergeCell ref="AH24:AJ25"/>
    <mergeCell ref="AK24:AM25"/>
    <mergeCell ref="AN24:AQ25"/>
    <mergeCell ref="AY24:AY25"/>
    <mergeCell ref="BO22:BO23"/>
    <mergeCell ref="B24:B25"/>
    <mergeCell ref="O24:Q25"/>
    <mergeCell ref="I24:N25"/>
    <mergeCell ref="T24:U25"/>
    <mergeCell ref="V24:X25"/>
    <mergeCell ref="R24:S25"/>
    <mergeCell ref="C24:H25"/>
    <mergeCell ref="Y24:Z25"/>
    <mergeCell ref="AA24:AC25"/>
    <mergeCell ref="BI22:BI23"/>
    <mergeCell ref="BJ22:BJ23"/>
    <mergeCell ref="BK22:BK23"/>
    <mergeCell ref="BL22:BL23"/>
    <mergeCell ref="BM22:BM23"/>
    <mergeCell ref="BN22:BN23"/>
    <mergeCell ref="BC22:BC23"/>
    <mergeCell ref="BD22:BD23"/>
    <mergeCell ref="BE22:BE23"/>
    <mergeCell ref="BI20:BI21"/>
    <mergeCell ref="BJ20:BJ21"/>
    <mergeCell ref="BK20:BK21"/>
    <mergeCell ref="AZ20:AZ21"/>
    <mergeCell ref="BA20:BA21"/>
    <mergeCell ref="BB20:BB21"/>
    <mergeCell ref="BC20:BC21"/>
    <mergeCell ref="BD20:BD21"/>
    <mergeCell ref="BE20:BE21"/>
    <mergeCell ref="B22:B23"/>
    <mergeCell ref="O22:Q23"/>
    <mergeCell ref="I22:N23"/>
    <mergeCell ref="T22:U23"/>
    <mergeCell ref="V22:X23"/>
    <mergeCell ref="R22:S23"/>
    <mergeCell ref="BF20:BF21"/>
    <mergeCell ref="BG20:BG21"/>
    <mergeCell ref="BH20:BH21"/>
    <mergeCell ref="AD20:AE21"/>
    <mergeCell ref="AF20:AG21"/>
    <mergeCell ref="BG22:BG23"/>
    <mergeCell ref="BH22:BH23"/>
    <mergeCell ref="AK22:AM23"/>
    <mergeCell ref="AN22:AQ23"/>
    <mergeCell ref="AY22:AY23"/>
    <mergeCell ref="AZ22:AZ23"/>
    <mergeCell ref="BA22:BA23"/>
    <mergeCell ref="BB22:BB23"/>
    <mergeCell ref="C22:H23"/>
    <mergeCell ref="Y22:Z23"/>
    <mergeCell ref="AA22:AC23"/>
    <mergeCell ref="AD22:AE23"/>
    <mergeCell ref="AF22:AG23"/>
    <mergeCell ref="BP24:BP25"/>
    <mergeCell ref="BG18:BG19"/>
    <mergeCell ref="BH18:BH19"/>
    <mergeCell ref="AK18:AM19"/>
    <mergeCell ref="AN18:AQ19"/>
    <mergeCell ref="AY18:AY19"/>
    <mergeCell ref="AZ18:AZ19"/>
    <mergeCell ref="BA18:BA19"/>
    <mergeCell ref="BB18:BB19"/>
    <mergeCell ref="AK20:AM21"/>
    <mergeCell ref="AN20:AQ21"/>
    <mergeCell ref="AY20:AY21"/>
    <mergeCell ref="BO18:BO19"/>
    <mergeCell ref="BI18:BI19"/>
    <mergeCell ref="BJ18:BJ19"/>
    <mergeCell ref="BK18:BK19"/>
    <mergeCell ref="BL18:BL19"/>
    <mergeCell ref="BM18:BM19"/>
    <mergeCell ref="BN18:BN19"/>
    <mergeCell ref="BC18:BC19"/>
    <mergeCell ref="BD18:BD19"/>
    <mergeCell ref="BE18:BE19"/>
    <mergeCell ref="BF18:BF19"/>
    <mergeCell ref="BL20:BL21"/>
    <mergeCell ref="BP22:BP23"/>
    <mergeCell ref="C18:H19"/>
    <mergeCell ref="Y18:Z19"/>
    <mergeCell ref="AA18:AC19"/>
    <mergeCell ref="AD18:AE19"/>
    <mergeCell ref="AF18:AG19"/>
    <mergeCell ref="AH18:AJ19"/>
    <mergeCell ref="AH20:AJ21"/>
    <mergeCell ref="V17:X17"/>
    <mergeCell ref="Y17:Z17"/>
    <mergeCell ref="AA17:AC17"/>
    <mergeCell ref="BG16:BG17"/>
    <mergeCell ref="BH16:BH17"/>
    <mergeCell ref="BI16:BI17"/>
    <mergeCell ref="AF16:AG17"/>
    <mergeCell ref="AD16:AE17"/>
    <mergeCell ref="BJ16:BJ17"/>
    <mergeCell ref="BK16:BK17"/>
    <mergeCell ref="BL16:BL17"/>
    <mergeCell ref="BA16:BA17"/>
    <mergeCell ref="BB16:BB17"/>
    <mergeCell ref="BC16:BC17"/>
    <mergeCell ref="AH16:AJ17"/>
    <mergeCell ref="AK16:AM17"/>
    <mergeCell ref="BO16:BO17"/>
    <mergeCell ref="T17:U17"/>
    <mergeCell ref="B18:B19"/>
    <mergeCell ref="O18:Q19"/>
    <mergeCell ref="I18:N19"/>
    <mergeCell ref="T18:U19"/>
    <mergeCell ref="V18:X19"/>
    <mergeCell ref="R18:S19"/>
    <mergeCell ref="BP20:BP21"/>
    <mergeCell ref="AN16:AQ17"/>
    <mergeCell ref="AY16:AY17"/>
    <mergeCell ref="AZ16:AZ17"/>
    <mergeCell ref="B20:B21"/>
    <mergeCell ref="O20:Q21"/>
    <mergeCell ref="I20:N21"/>
    <mergeCell ref="T20:U21"/>
    <mergeCell ref="V20:X21"/>
    <mergeCell ref="R20:S21"/>
    <mergeCell ref="C20:H21"/>
    <mergeCell ref="Y20:Z21"/>
    <mergeCell ref="AA20:AC21"/>
    <mergeCell ref="BM20:BM21"/>
    <mergeCell ref="BN20:BN21"/>
    <mergeCell ref="BO20:BO21"/>
    <mergeCell ref="A9:AW10"/>
    <mergeCell ref="AT1:AW3"/>
    <mergeCell ref="AI13:AQ14"/>
    <mergeCell ref="BP26:BP27"/>
    <mergeCell ref="BP28:BP29"/>
    <mergeCell ref="R12:U13"/>
    <mergeCell ref="V12:Y13"/>
    <mergeCell ref="Z12:AC13"/>
    <mergeCell ref="BP16:BP17"/>
    <mergeCell ref="BP18:BP19"/>
    <mergeCell ref="R14:U14"/>
    <mergeCell ref="V14:Y14"/>
    <mergeCell ref="Z14:AC14"/>
    <mergeCell ref="O16:Q17"/>
    <mergeCell ref="I16:N17"/>
    <mergeCell ref="T16:X16"/>
    <mergeCell ref="R16:S17"/>
    <mergeCell ref="C16:H17"/>
    <mergeCell ref="Y16:AC16"/>
    <mergeCell ref="BD16:BD17"/>
    <mergeCell ref="BE16:BE17"/>
    <mergeCell ref="BF16:BF17"/>
    <mergeCell ref="BM16:BM17"/>
    <mergeCell ref="BN16:BN17"/>
  </mergeCells>
  <conditionalFormatting sqref="O18:Q29">
    <cfRule type="expression" dxfId="137" priority="5">
      <formula>IF(ISNUMBER(SEARCH("Linear",BA18)),TRUE,FALSE)</formula>
    </cfRule>
  </conditionalFormatting>
  <conditionalFormatting sqref="O18:S29 AF18:AG29">
    <cfRule type="expression" dxfId="136" priority="902">
      <formula>AND($C18&lt;&gt;"",OR(ISBLANK(O18)=TRUE,O18=""))</formula>
    </cfRule>
  </conditionalFormatting>
  <conditionalFormatting sqref="AN18:AQ29">
    <cfRule type="expression" dxfId="135" priority="1" stopIfTrue="1">
      <formula>ISNUMBER($AN18)=FALSE</formula>
    </cfRule>
    <cfRule type="expression" dxfId="134" priority="6">
      <formula>$AN18 &lt;&gt; $BH18</formula>
    </cfRule>
  </conditionalFormatting>
  <conditionalFormatting sqref="AQ8:AW8">
    <cfRule type="expression" dxfId="133" priority="1578">
      <formula>IF($AQ$8=PROJSTATMEASURE,FALSE,TRUE)</formula>
    </cfRule>
  </conditionalFormatting>
  <dataValidations count="7">
    <dataValidation type="list" allowBlank="1" showInputMessage="1" sqref="I18:N29" xr:uid="{102362F7-FEF0-4A7D-9530-5E9613252721}">
      <formula1>LPDSPACELIST</formula1>
    </dataValidation>
    <dataValidation type="list" allowBlank="1" showInputMessage="1" sqref="BE18:BE29" xr:uid="{78D0BBA4-0625-40AF-9389-B0697BADDAD8}">
      <formula1>ENDUSECAT</formula1>
    </dataValidation>
    <dataValidation type="whole" operator="greaterThan" allowBlank="1" showErrorMessage="1" errorTitle="Invalid Entry" error="This value must be a whole number greater than zero."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O18:Q29" xr:uid="{52C75577-ADD2-44E1-8024-1E4FFD3A5986}">
      <formula1>0</formula1>
    </dataValidation>
    <dataValidation type="decimal" operator="lessThanOrEqual" allowBlank="1" showInputMessage="1" showErrorMessage="1" prompt="Annual Operating Hours of Lighting" sqref="R18:S29" xr:uid="{E125558B-F3EB-420D-8D73-59510432A9FE}">
      <formula1>8760</formula1>
    </dataValidation>
    <dataValidation type="whole" allowBlank="1" showInputMessage="1" error="Please enter a numerical value" sqref="Y18:Z29" xr:uid="{1E2DC81B-F9BA-4834-9AFB-1D4D82753227}">
      <formula1>0</formula1>
      <formula2>999999</formula2>
    </dataValidation>
    <dataValidation type="custom" operator="greaterThanOrEqual" allowBlank="1" showInputMessage="1" showErrorMessage="1" errorTitle="Invalid Entry" error="The Efficient Cost must be greater than the Baseline Cost and rounded to the nearest cent." prompt="Input the total cost of the Efficient Equipment" sqref="AF18:AG29" xr:uid="{1A73A24A-D0E3-40B7-8F18-B14B10378FCF}">
      <formula1>AND(MOD(AF18*1000, 10)=0, AF18&gt;=AD18)</formula1>
    </dataValidation>
    <dataValidation type="custom" allowBlank="1" showInputMessage="1" showErrorMessage="1" errorTitle="Invalid Entry" error="The Baseline Cost must be less than the Efficient Cost and rounded to the nearest cent." prompt="If you have a quoted baseline cost for this measure please enter it here. " sqref="AD18:AE29" xr:uid="{8E817885-5627-4464-8410-B8BA9452F913}">
      <formula1>AND(MOD(AD18*1000, 10)=0, IF(AF18&lt;&gt;"", AF18&gt;=AD18, TRUE))</formula1>
    </dataValidation>
  </dataValidations>
  <hyperlinks>
    <hyperlink ref="B202" r:id="rId1" display="businessrebates@evergy.com" xr:uid="{38C9A2B3-1F08-49AB-88EA-5DEAD8625E29}"/>
  </hyperlinks>
  <printOptions horizontalCentered="1"/>
  <pageMargins left="0" right="0" top="0" bottom="0" header="0" footer="0"/>
  <pageSetup scale="4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2BD41-63D7-4FBF-9ECC-5ACBFB0C3093}">
  <sheetPr codeName="Sheet90">
    <tabColor theme="9" tint="0.59999389629810485"/>
    <pageSetUpPr fitToPage="1"/>
  </sheetPr>
  <dimension ref="A1:BW202"/>
  <sheetViews>
    <sheetView showGridLines="0" showRowColHeaders="0" zoomScale="85" zoomScaleNormal="85" workbookViewId="0"/>
  </sheetViews>
  <sheetFormatPr defaultColWidth="0" defaultRowHeight="15.95" customHeight="1" zeroHeight="1"/>
  <cols>
    <col min="1" max="49" width="4.7109375" customWidth="1"/>
    <col min="50" max="50" width="8.85546875" hidden="1" customWidth="1"/>
    <col min="51" max="56" width="11.42578125" hidden="1" customWidth="1"/>
    <col min="57" max="75" width="8.85546875" hidden="1" customWidth="1"/>
    <col min="76" max="16384" width="9.140625" hidden="1"/>
  </cols>
  <sheetData>
    <row r="1" spans="1:56"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56"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56"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56" ht="15.95" customHeight="1">
      <c r="B4" s="199"/>
      <c r="C4" s="199"/>
      <c r="D4" s="199"/>
      <c r="E4" s="199"/>
    </row>
    <row r="5" spans="1:56" ht="15.95" customHeight="1">
      <c r="A5" s="667">
        <f>INCENTOTAL_N</f>
        <v>0</v>
      </c>
      <c r="B5" s="667"/>
      <c r="C5" s="667"/>
      <c r="D5" s="667"/>
      <c r="E5" s="667"/>
      <c r="AQ5" s="668">
        <f ca="1">PROGRESSSTATUS_N</f>
        <v>0</v>
      </c>
      <c r="AR5" s="668"/>
      <c r="AS5" s="668"/>
      <c r="AT5" s="668"/>
      <c r="AU5" s="668"/>
      <c r="AV5" s="557"/>
      <c r="AW5" s="557"/>
    </row>
    <row r="6" spans="1:56" ht="15.95" customHeight="1">
      <c r="A6" s="667"/>
      <c r="B6" s="667"/>
      <c r="C6" s="667"/>
      <c r="D6" s="667"/>
      <c r="E6" s="667"/>
      <c r="AQ6" s="668"/>
      <c r="AR6" s="668"/>
      <c r="AS6" s="668"/>
      <c r="AT6" s="668"/>
      <c r="AU6" s="668"/>
      <c r="AV6" s="557"/>
      <c r="AW6" s="557"/>
    </row>
    <row r="7" spans="1:56" ht="15.95" customHeight="1">
      <c r="A7" s="665" t="s">
        <v>20</v>
      </c>
      <c r="B7" s="665"/>
      <c r="C7" s="665"/>
      <c r="D7" s="665"/>
      <c r="E7" s="665"/>
      <c r="AQ7" s="665" t="s">
        <v>179</v>
      </c>
      <c r="AR7" s="665"/>
      <c r="AS7" s="665"/>
      <c r="AT7" s="665"/>
      <c r="AU7" s="665"/>
      <c r="AV7" s="556"/>
      <c r="AW7" s="556"/>
    </row>
    <row r="8" spans="1:56" ht="15.95" customHeight="1" thickBot="1">
      <c r="A8" s="665"/>
      <c r="B8" s="665"/>
      <c r="C8" s="665"/>
      <c r="D8" s="665"/>
      <c r="E8" s="665"/>
      <c r="AQ8" s="674" t="str">
        <f ca="1">PROJSTATUS_N</f>
        <v>Enter Measures</v>
      </c>
      <c r="AR8" s="674"/>
      <c r="AS8" s="674"/>
      <c r="AT8" s="674"/>
      <c r="AU8" s="674"/>
      <c r="AV8" s="558"/>
      <c r="AW8" s="558"/>
    </row>
    <row r="9" spans="1:56" ht="15.95" customHeight="1">
      <c r="A9" s="636" t="str">
        <f>N3S2&amp;": Step 1 - Lighting Schedule"</f>
        <v>Interior Lighting: Step 1 - Lighting Schedule</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56"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56" ht="15.95" customHeight="1"/>
    <row r="12" spans="1:56" ht="15.95" customHeight="1">
      <c r="AY12" s="21"/>
      <c r="AZ12" s="21"/>
      <c r="BA12" s="21"/>
      <c r="BB12" s="21"/>
      <c r="BC12" s="21"/>
      <c r="BD12" s="21"/>
    </row>
    <row r="13" spans="1:56" ht="15.95" customHeight="1">
      <c r="F13" s="417" t="s">
        <v>1917</v>
      </c>
      <c r="AY13" s="21"/>
      <c r="AZ13" s="21"/>
      <c r="BA13" s="21"/>
      <c r="BB13" s="21"/>
      <c r="BC13" s="21"/>
      <c r="BD13" s="21"/>
    </row>
    <row r="14" spans="1:56" ht="15.95" customHeight="1">
      <c r="F14" s="25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2"/>
      <c r="AY14" s="21"/>
      <c r="AZ14" s="21"/>
      <c r="BA14" s="21"/>
      <c r="BB14" s="21"/>
      <c r="BC14" s="21"/>
      <c r="BD14" s="21"/>
    </row>
    <row r="15" spans="1:56" ht="15.95" customHeight="1">
      <c r="F15" s="334"/>
      <c r="G15" s="873" t="s">
        <v>1728</v>
      </c>
      <c r="H15" s="873"/>
      <c r="I15" s="873"/>
      <c r="J15" s="873"/>
      <c r="K15" s="873"/>
      <c r="L15" s="873"/>
      <c r="M15" s="873"/>
      <c r="N15" s="873"/>
      <c r="O15" s="873"/>
      <c r="P15" s="873"/>
      <c r="Q15" s="873"/>
      <c r="R15" s="873"/>
      <c r="S15" s="873"/>
      <c r="T15" s="873"/>
      <c r="U15" s="873"/>
      <c r="V15" s="873"/>
      <c r="W15" s="401"/>
      <c r="X15" s="873" t="s">
        <v>1661</v>
      </c>
      <c r="Y15" s="873"/>
      <c r="Z15" s="873"/>
      <c r="AA15" s="873"/>
      <c r="AB15" s="873"/>
      <c r="AC15" s="873"/>
      <c r="AD15" s="873"/>
      <c r="AE15" s="873"/>
      <c r="AF15" s="873"/>
      <c r="AG15" s="873"/>
      <c r="AH15" s="873"/>
      <c r="AI15" s="873"/>
      <c r="AJ15" s="873"/>
      <c r="AK15" s="873"/>
      <c r="AL15" s="873"/>
      <c r="AM15" s="873"/>
      <c r="AN15" s="335"/>
      <c r="AY15" s="864" t="s">
        <v>1664</v>
      </c>
      <c r="AZ15" s="864"/>
      <c r="BA15" s="864"/>
      <c r="BB15" s="864"/>
      <c r="BC15" s="864"/>
      <c r="BD15" s="864"/>
    </row>
    <row r="16" spans="1:56" ht="15.95" customHeight="1">
      <c r="F16" s="303"/>
      <c r="G16" s="865" t="s">
        <v>1867</v>
      </c>
      <c r="H16" s="865"/>
      <c r="I16" s="865"/>
      <c r="J16" s="865"/>
      <c r="K16" s="865"/>
      <c r="L16" s="867" t="s">
        <v>1483</v>
      </c>
      <c r="M16" s="865" t="s">
        <v>1482</v>
      </c>
      <c r="N16" s="865"/>
      <c r="O16" s="865" t="s">
        <v>1660</v>
      </c>
      <c r="P16" s="865"/>
      <c r="Q16" s="867" t="s">
        <v>814</v>
      </c>
      <c r="R16" s="867"/>
      <c r="S16" s="867"/>
      <c r="T16" s="867"/>
      <c r="U16" s="867"/>
      <c r="V16" s="867"/>
      <c r="W16" s="401"/>
      <c r="X16" s="865" t="s">
        <v>943</v>
      </c>
      <c r="Y16" s="865"/>
      <c r="Z16" s="865"/>
      <c r="AA16" s="865"/>
      <c r="AB16" s="865"/>
      <c r="AC16" s="867" t="s">
        <v>1483</v>
      </c>
      <c r="AD16" s="865" t="s">
        <v>1482</v>
      </c>
      <c r="AE16" s="865"/>
      <c r="AF16" s="865" t="s">
        <v>1660</v>
      </c>
      <c r="AG16" s="865"/>
      <c r="AH16" s="867" t="s">
        <v>814</v>
      </c>
      <c r="AI16" s="867"/>
      <c r="AJ16" s="867"/>
      <c r="AK16" s="867"/>
      <c r="AL16" s="867"/>
      <c r="AM16" s="867"/>
      <c r="AN16" s="304"/>
      <c r="AY16" s="869" t="s">
        <v>1663</v>
      </c>
      <c r="AZ16" s="869" t="s">
        <v>1662</v>
      </c>
      <c r="BA16" s="869" t="s">
        <v>1665</v>
      </c>
      <c r="BB16" s="869" t="s">
        <v>1666</v>
      </c>
      <c r="BC16" s="871" t="s">
        <v>185</v>
      </c>
      <c r="BD16" s="21"/>
    </row>
    <row r="17" spans="6:56" ht="15.95" customHeight="1">
      <c r="F17" s="303"/>
      <c r="G17" s="866"/>
      <c r="H17" s="866"/>
      <c r="I17" s="866"/>
      <c r="J17" s="866"/>
      <c r="K17" s="866"/>
      <c r="L17" s="868"/>
      <c r="M17" s="866"/>
      <c r="N17" s="866"/>
      <c r="O17" s="866"/>
      <c r="P17" s="866"/>
      <c r="Q17" s="868" t="s">
        <v>812</v>
      </c>
      <c r="R17" s="868"/>
      <c r="S17" s="868"/>
      <c r="T17" s="867" t="s">
        <v>813</v>
      </c>
      <c r="U17" s="867"/>
      <c r="V17" s="867"/>
      <c r="W17" s="401"/>
      <c r="X17" s="866"/>
      <c r="Y17" s="866"/>
      <c r="Z17" s="866"/>
      <c r="AA17" s="866"/>
      <c r="AB17" s="866"/>
      <c r="AC17" s="868"/>
      <c r="AD17" s="866"/>
      <c r="AE17" s="866"/>
      <c r="AF17" s="866"/>
      <c r="AG17" s="866"/>
      <c r="AH17" s="868" t="s">
        <v>812</v>
      </c>
      <c r="AI17" s="868"/>
      <c r="AJ17" s="868"/>
      <c r="AK17" s="867" t="s">
        <v>813</v>
      </c>
      <c r="AL17" s="867"/>
      <c r="AM17" s="867"/>
      <c r="AN17" s="308"/>
      <c r="AY17" s="870"/>
      <c r="AZ17" s="870"/>
      <c r="BA17" s="870"/>
      <c r="BB17" s="870"/>
      <c r="BC17" s="872"/>
      <c r="BD17" s="21"/>
    </row>
    <row r="18" spans="6:56" ht="15.95" customHeight="1">
      <c r="F18" s="303">
        <v>1</v>
      </c>
      <c r="G18" s="859"/>
      <c r="H18" s="860"/>
      <c r="I18" s="860"/>
      <c r="J18" s="860"/>
      <c r="K18" s="861"/>
      <c r="L18" s="402"/>
      <c r="M18" s="857"/>
      <c r="N18" s="857"/>
      <c r="O18" s="862"/>
      <c r="P18" s="863"/>
      <c r="Q18" s="858"/>
      <c r="R18" s="858"/>
      <c r="S18" s="858"/>
      <c r="T18" s="858"/>
      <c r="U18" s="858"/>
      <c r="V18" s="858"/>
      <c r="W18" s="401"/>
      <c r="X18" s="856"/>
      <c r="Y18" s="856"/>
      <c r="Z18" s="856"/>
      <c r="AA18" s="856"/>
      <c r="AB18" s="856"/>
      <c r="AC18" s="403" t="str">
        <f>IF(BC18&lt;&gt;"","",BA18/AF18)</f>
        <v/>
      </c>
      <c r="AD18" s="857"/>
      <c r="AE18" s="857"/>
      <c r="AF18" s="857"/>
      <c r="AG18" s="857"/>
      <c r="AH18" s="858"/>
      <c r="AI18" s="858"/>
      <c r="AJ18" s="858"/>
      <c r="AK18" s="858"/>
      <c r="AL18" s="858"/>
      <c r="AM18" s="858"/>
      <c r="AN18" s="308"/>
      <c r="AY18" s="336" t="str">
        <f>IF(BC18&lt;&gt;"","",(L18*M18))</f>
        <v/>
      </c>
      <c r="AZ18" s="336" t="str">
        <f>IF(BC18&lt;&gt;"","",(AC18*AD18))</f>
        <v/>
      </c>
      <c r="BA18" s="336" t="str">
        <f>IF(BC18&lt;&gt;"","",L18*O18)</f>
        <v/>
      </c>
      <c r="BB18" s="336" t="str">
        <f>IF(BC18&lt;&gt;"","",AC18*AF18)</f>
        <v/>
      </c>
      <c r="BC18" s="108" t="str">
        <f>IF(OR(ISBLANK(G18),ISBLANK(L18),ISBLANK(M18),ISBLANK(O18),ISBLANK(Q18),ISBLANK(T18),ISBLANK(X18),ISBLANK(AD18),ISBLANK(AD18),ISBLANK(AF18),ISBLANK(AH18),ISBLANK(AK18)),"Enter Info","")</f>
        <v>Enter Info</v>
      </c>
      <c r="BD18" s="21"/>
    </row>
    <row r="19" spans="6:56" ht="15.95" customHeight="1">
      <c r="F19" s="303">
        <v>2</v>
      </c>
      <c r="G19" s="859"/>
      <c r="H19" s="860"/>
      <c r="I19" s="860"/>
      <c r="J19" s="860"/>
      <c r="K19" s="861"/>
      <c r="L19" s="402"/>
      <c r="M19" s="857"/>
      <c r="N19" s="857"/>
      <c r="O19" s="862"/>
      <c r="P19" s="863"/>
      <c r="Q19" s="858"/>
      <c r="R19" s="858"/>
      <c r="S19" s="858"/>
      <c r="T19" s="858"/>
      <c r="U19" s="858"/>
      <c r="V19" s="858"/>
      <c r="W19" s="401"/>
      <c r="X19" s="856"/>
      <c r="Y19" s="856"/>
      <c r="Z19" s="856"/>
      <c r="AA19" s="856"/>
      <c r="AB19" s="856"/>
      <c r="AC19" s="403" t="str">
        <f>IF(BC19&lt;&gt;"","",BA19/AF19)</f>
        <v/>
      </c>
      <c r="AD19" s="857"/>
      <c r="AE19" s="857"/>
      <c r="AF19" s="857"/>
      <c r="AG19" s="857"/>
      <c r="AH19" s="858"/>
      <c r="AI19" s="858"/>
      <c r="AJ19" s="858"/>
      <c r="AK19" s="858"/>
      <c r="AL19" s="858"/>
      <c r="AM19" s="858"/>
      <c r="AN19" s="308"/>
      <c r="AY19" s="336" t="str">
        <f>IF(BC19&lt;&gt;"","",(L19*M19))</f>
        <v/>
      </c>
      <c r="AZ19" s="336" t="str">
        <f>IF(BC19&lt;&gt;"","",(AC19*AD19))</f>
        <v/>
      </c>
      <c r="BA19" s="336" t="str">
        <f>IF(BC19&lt;&gt;"","",L19*O19)</f>
        <v/>
      </c>
      <c r="BB19" s="336" t="str">
        <f>IF(BC19&lt;&gt;"","",AC19*AF19)</f>
        <v/>
      </c>
      <c r="BC19" s="108" t="str">
        <f>IF(OR(ISBLANK(G19),ISBLANK(L19),ISBLANK(M19),ISBLANK(O19),ISBLANK(Q19),ISBLANK(T19),ISBLANK(X19),ISBLANK(AD19),ISBLANK(AD19),ISBLANK(AF19),ISBLANK(AH19),ISBLANK(AK19)),"Enter Info","")</f>
        <v>Enter Info</v>
      </c>
      <c r="BD19" s="21"/>
    </row>
    <row r="20" spans="6:56" ht="15.95" customHeight="1">
      <c r="F20" s="303">
        <v>3</v>
      </c>
      <c r="G20" s="859"/>
      <c r="H20" s="860"/>
      <c r="I20" s="860"/>
      <c r="J20" s="860"/>
      <c r="K20" s="861"/>
      <c r="L20" s="402"/>
      <c r="M20" s="857"/>
      <c r="N20" s="857"/>
      <c r="O20" s="862"/>
      <c r="P20" s="863"/>
      <c r="Q20" s="858"/>
      <c r="R20" s="858"/>
      <c r="S20" s="858"/>
      <c r="T20" s="858"/>
      <c r="U20" s="858"/>
      <c r="V20" s="858"/>
      <c r="W20" s="401"/>
      <c r="X20" s="856"/>
      <c r="Y20" s="856"/>
      <c r="Z20" s="856"/>
      <c r="AA20" s="856"/>
      <c r="AB20" s="856"/>
      <c r="AC20" s="403" t="str">
        <f>IF(BC20&lt;&gt;"","",BA20/AF20)</f>
        <v/>
      </c>
      <c r="AD20" s="857"/>
      <c r="AE20" s="857"/>
      <c r="AF20" s="857"/>
      <c r="AG20" s="857"/>
      <c r="AH20" s="858"/>
      <c r="AI20" s="858"/>
      <c r="AJ20" s="858"/>
      <c r="AK20" s="858"/>
      <c r="AL20" s="858"/>
      <c r="AM20" s="858"/>
      <c r="AN20" s="308"/>
      <c r="AY20" s="336" t="str">
        <f>IF(BC20&lt;&gt;"","",(L20*M20))</f>
        <v/>
      </c>
      <c r="AZ20" s="336" t="str">
        <f>IF(BC20&lt;&gt;"","",(AC20*AD20))</f>
        <v/>
      </c>
      <c r="BA20" s="336" t="str">
        <f>IF(BC20&lt;&gt;"","",L20*O20)</f>
        <v/>
      </c>
      <c r="BB20" s="336" t="str">
        <f>IF(BC20&lt;&gt;"","",AC20*AF20)</f>
        <v/>
      </c>
      <c r="BC20" s="108" t="str">
        <f>IF(OR(ISBLANK(G20),ISBLANK(L20),ISBLANK(M20),ISBLANK(O20),ISBLANK(Q20),ISBLANK(T20),ISBLANK(X20),ISBLANK(AD20),ISBLANK(AD20),ISBLANK(AF20),ISBLANK(AH20),ISBLANK(AK20)),"Enter Info","")</f>
        <v>Enter Info</v>
      </c>
      <c r="BD20" s="21"/>
    </row>
    <row r="21" spans="6:56" ht="15.95" customHeight="1">
      <c r="F21" s="303">
        <v>4</v>
      </c>
      <c r="G21" s="859"/>
      <c r="H21" s="860"/>
      <c r="I21" s="860"/>
      <c r="J21" s="860"/>
      <c r="K21" s="861"/>
      <c r="L21" s="402"/>
      <c r="M21" s="857"/>
      <c r="N21" s="857"/>
      <c r="O21" s="862"/>
      <c r="P21" s="863"/>
      <c r="Q21" s="858"/>
      <c r="R21" s="858"/>
      <c r="S21" s="858"/>
      <c r="T21" s="858"/>
      <c r="U21" s="858"/>
      <c r="V21" s="858"/>
      <c r="W21" s="401"/>
      <c r="X21" s="856"/>
      <c r="Y21" s="856"/>
      <c r="Z21" s="856"/>
      <c r="AA21" s="856"/>
      <c r="AB21" s="856"/>
      <c r="AC21" s="403" t="str">
        <f>IF(BC21&lt;&gt;"","",BA21/AF21)</f>
        <v/>
      </c>
      <c r="AD21" s="857"/>
      <c r="AE21" s="857"/>
      <c r="AF21" s="857"/>
      <c r="AG21" s="857"/>
      <c r="AH21" s="858"/>
      <c r="AI21" s="858"/>
      <c r="AJ21" s="858"/>
      <c r="AK21" s="858"/>
      <c r="AL21" s="858"/>
      <c r="AM21" s="858"/>
      <c r="AN21" s="308"/>
      <c r="AY21" s="336" t="str">
        <f>IF(BC21&lt;&gt;"","",(L21*M21))</f>
        <v/>
      </c>
      <c r="AZ21" s="336" t="str">
        <f>IF(BC21&lt;&gt;"","",(AC21*AD21))</f>
        <v/>
      </c>
      <c r="BA21" s="336" t="str">
        <f>IF(BC21&lt;&gt;"","",L21*O21)</f>
        <v/>
      </c>
      <c r="BB21" s="336" t="str">
        <f>IF(BC21&lt;&gt;"","",AC21*AF21)</f>
        <v/>
      </c>
      <c r="BC21" s="108" t="str">
        <f>IF(OR(ISBLANK(G21),ISBLANK(L21),ISBLANK(M21),ISBLANK(O21),ISBLANK(Q21),ISBLANK(T21),ISBLANK(X21),ISBLANK(AD21),ISBLANK(AD21),ISBLANK(AF21),ISBLANK(AH21),ISBLANK(AK21)),"Enter Info","")</f>
        <v>Enter Info</v>
      </c>
      <c r="BD21" s="21"/>
    </row>
    <row r="22" spans="6:56" ht="15.95" customHeight="1">
      <c r="F22" s="303">
        <v>5</v>
      </c>
      <c r="G22" s="859"/>
      <c r="H22" s="860"/>
      <c r="I22" s="860"/>
      <c r="J22" s="860"/>
      <c r="K22" s="861"/>
      <c r="L22" s="402"/>
      <c r="M22" s="857"/>
      <c r="N22" s="857"/>
      <c r="O22" s="862"/>
      <c r="P22" s="863"/>
      <c r="Q22" s="858"/>
      <c r="R22" s="858"/>
      <c r="S22" s="858"/>
      <c r="T22" s="858"/>
      <c r="U22" s="858"/>
      <c r="V22" s="858"/>
      <c r="W22" s="401"/>
      <c r="X22" s="856"/>
      <c r="Y22" s="856"/>
      <c r="Z22" s="856"/>
      <c r="AA22" s="856"/>
      <c r="AB22" s="856"/>
      <c r="AC22" s="403" t="str">
        <f>IF(BC22&lt;&gt;"","",BA22/AF22)</f>
        <v/>
      </c>
      <c r="AD22" s="857"/>
      <c r="AE22" s="857"/>
      <c r="AF22" s="857"/>
      <c r="AG22" s="857"/>
      <c r="AH22" s="858"/>
      <c r="AI22" s="858"/>
      <c r="AJ22" s="858"/>
      <c r="AK22" s="858"/>
      <c r="AL22" s="858"/>
      <c r="AM22" s="858"/>
      <c r="AN22" s="308"/>
      <c r="AY22" s="336" t="str">
        <f>IF(BC22&lt;&gt;"","",(L22*M22))</f>
        <v/>
      </c>
      <c r="AZ22" s="336" t="str">
        <f>IF(BC22&lt;&gt;"","",(AC22*AD22))</f>
        <v/>
      </c>
      <c r="BA22" s="336" t="str">
        <f>IF(BC22&lt;&gt;"","",L22*O22)</f>
        <v/>
      </c>
      <c r="BB22" s="336" t="str">
        <f>IF(BC22&lt;&gt;"","",AC22*AF22)</f>
        <v/>
      </c>
      <c r="BC22" s="108" t="str">
        <f>IF(OR(ISBLANK(G22),ISBLANK(L22),ISBLANK(M22),ISBLANK(O22),ISBLANK(Q22),ISBLANK(T22),ISBLANK(X22),ISBLANK(AD22),ISBLANK(AD22),ISBLANK(AF22),ISBLANK(AH22),ISBLANK(AK22)),"Enter Info","")</f>
        <v>Enter Info</v>
      </c>
      <c r="BD22" s="21"/>
    </row>
    <row r="23" spans="6:56" ht="15.95" customHeight="1">
      <c r="F23" s="303"/>
      <c r="G23" s="404"/>
      <c r="H23" s="404"/>
      <c r="I23" s="404"/>
      <c r="J23" s="404"/>
      <c r="K23" s="404"/>
      <c r="L23" s="404"/>
      <c r="M23" s="404"/>
      <c r="N23" s="404"/>
      <c r="O23" s="404"/>
      <c r="P23" s="404"/>
      <c r="Q23" s="855">
        <f>SUM(Q18:R22)</f>
        <v>0</v>
      </c>
      <c r="R23" s="855"/>
      <c r="S23" s="855"/>
      <c r="T23" s="855">
        <f>SUM(T18:U22)</f>
        <v>0</v>
      </c>
      <c r="U23" s="855"/>
      <c r="V23" s="855"/>
      <c r="W23" s="401"/>
      <c r="X23" s="405"/>
      <c r="Y23" s="405"/>
      <c r="Z23" s="405"/>
      <c r="AA23" s="405"/>
      <c r="AB23" s="405"/>
      <c r="AC23" s="405"/>
      <c r="AD23" s="405"/>
      <c r="AE23" s="405"/>
      <c r="AF23" s="405"/>
      <c r="AG23" s="405"/>
      <c r="AH23" s="855">
        <f>SUM(AH18:AI22)</f>
        <v>0</v>
      </c>
      <c r="AI23" s="855"/>
      <c r="AJ23" s="855"/>
      <c r="AK23" s="855">
        <f>SUM(AK18:AL22)</f>
        <v>0</v>
      </c>
      <c r="AL23" s="855"/>
      <c r="AM23" s="855"/>
      <c r="AN23" s="308"/>
      <c r="AY23" s="337">
        <f>SUM(AY18:AY22)</f>
        <v>0</v>
      </c>
      <c r="AZ23" s="337">
        <f>SUM(AZ18:AZ22)</f>
        <v>0</v>
      </c>
      <c r="BA23" s="337">
        <f>SUM(BA18:BA22)</f>
        <v>0</v>
      </c>
      <c r="BB23" s="337">
        <f>SUM(BB18:BB22)</f>
        <v>0</v>
      </c>
      <c r="BC23" s="21"/>
      <c r="BD23" s="21"/>
    </row>
    <row r="24" spans="6:56" ht="15.95" customHeight="1">
      <c r="F24" s="310"/>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12"/>
      <c r="AY24" s="21"/>
      <c r="AZ24" s="21"/>
      <c r="BA24" s="21"/>
      <c r="BB24" s="21"/>
      <c r="BC24" s="21"/>
      <c r="BD24" s="21"/>
    </row>
    <row r="25" spans="6:56" ht="15.95" customHeight="1">
      <c r="AY25" s="21"/>
      <c r="AZ25" s="21"/>
      <c r="BA25" s="21"/>
      <c r="BB25" s="21"/>
      <c r="BC25" s="21"/>
      <c r="BD25" s="21"/>
    </row>
    <row r="26" spans="6:56" ht="15.95" customHeight="1">
      <c r="F26" s="417" t="s">
        <v>1918</v>
      </c>
      <c r="AF26" s="13"/>
      <c r="AY26" s="21"/>
      <c r="AZ26" s="21"/>
      <c r="BA26" s="21"/>
      <c r="BB26" s="21"/>
      <c r="BC26" s="21"/>
      <c r="BD26" s="21"/>
    </row>
    <row r="27" spans="6:56" ht="15.95" customHeight="1">
      <c r="F27" s="25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2"/>
      <c r="AY27" s="21"/>
      <c r="AZ27" s="21"/>
      <c r="BA27" s="21"/>
      <c r="BB27" s="21"/>
      <c r="BC27" s="21"/>
      <c r="BD27" s="21"/>
    </row>
    <row r="28" spans="6:56" ht="15.95" customHeight="1">
      <c r="F28" s="334"/>
      <c r="G28" s="873" t="s">
        <v>1728</v>
      </c>
      <c r="H28" s="873"/>
      <c r="I28" s="873"/>
      <c r="J28" s="873"/>
      <c r="K28" s="873"/>
      <c r="L28" s="873"/>
      <c r="M28" s="873"/>
      <c r="N28" s="873"/>
      <c r="O28" s="873"/>
      <c r="P28" s="873"/>
      <c r="Q28" s="873"/>
      <c r="R28" s="873"/>
      <c r="S28" s="873"/>
      <c r="T28" s="873"/>
      <c r="U28" s="873"/>
      <c r="V28" s="873"/>
      <c r="W28" s="401"/>
      <c r="X28" s="873" t="s">
        <v>1661</v>
      </c>
      <c r="Y28" s="873"/>
      <c r="Z28" s="873"/>
      <c r="AA28" s="873"/>
      <c r="AB28" s="873"/>
      <c r="AC28" s="873"/>
      <c r="AD28" s="873"/>
      <c r="AE28" s="873"/>
      <c r="AF28" s="873"/>
      <c r="AG28" s="873"/>
      <c r="AH28" s="873"/>
      <c r="AI28" s="873"/>
      <c r="AJ28" s="873"/>
      <c r="AK28" s="873"/>
      <c r="AL28" s="873"/>
      <c r="AM28" s="873"/>
      <c r="AN28" s="335"/>
      <c r="AY28" s="864" t="s">
        <v>1664</v>
      </c>
      <c r="AZ28" s="864"/>
      <c r="BA28" s="864"/>
      <c r="BB28" s="864"/>
      <c r="BC28" s="864"/>
      <c r="BD28" s="864"/>
    </row>
    <row r="29" spans="6:56" ht="15.95" customHeight="1">
      <c r="F29" s="303"/>
      <c r="G29" s="865" t="s">
        <v>1867</v>
      </c>
      <c r="H29" s="865"/>
      <c r="I29" s="865"/>
      <c r="J29" s="865"/>
      <c r="K29" s="865"/>
      <c r="L29" s="867" t="s">
        <v>1483</v>
      </c>
      <c r="M29" s="865" t="s">
        <v>1482</v>
      </c>
      <c r="N29" s="865"/>
      <c r="O29" s="865" t="s">
        <v>1660</v>
      </c>
      <c r="P29" s="865"/>
      <c r="Q29" s="867" t="s">
        <v>814</v>
      </c>
      <c r="R29" s="867"/>
      <c r="S29" s="867"/>
      <c r="T29" s="867"/>
      <c r="U29" s="867"/>
      <c r="V29" s="867"/>
      <c r="W29" s="401"/>
      <c r="X29" s="865" t="s">
        <v>943</v>
      </c>
      <c r="Y29" s="865"/>
      <c r="Z29" s="865"/>
      <c r="AA29" s="865"/>
      <c r="AB29" s="865"/>
      <c r="AC29" s="867" t="s">
        <v>1483</v>
      </c>
      <c r="AD29" s="865" t="s">
        <v>1482</v>
      </c>
      <c r="AE29" s="865"/>
      <c r="AF29" s="865" t="s">
        <v>1660</v>
      </c>
      <c r="AG29" s="865"/>
      <c r="AH29" s="867" t="s">
        <v>814</v>
      </c>
      <c r="AI29" s="867"/>
      <c r="AJ29" s="867"/>
      <c r="AK29" s="867"/>
      <c r="AL29" s="867"/>
      <c r="AM29" s="867"/>
      <c r="AN29" s="304"/>
      <c r="AY29" s="869" t="s">
        <v>1663</v>
      </c>
      <c r="AZ29" s="869" t="s">
        <v>1662</v>
      </c>
      <c r="BA29" s="869" t="s">
        <v>1665</v>
      </c>
      <c r="BB29" s="869" t="s">
        <v>1666</v>
      </c>
      <c r="BC29" s="871" t="s">
        <v>185</v>
      </c>
      <c r="BD29" s="21"/>
    </row>
    <row r="30" spans="6:56" ht="15.95" customHeight="1">
      <c r="F30" s="303"/>
      <c r="G30" s="866"/>
      <c r="H30" s="866"/>
      <c r="I30" s="866"/>
      <c r="J30" s="866"/>
      <c r="K30" s="866"/>
      <c r="L30" s="868"/>
      <c r="M30" s="866"/>
      <c r="N30" s="866"/>
      <c r="O30" s="866"/>
      <c r="P30" s="866"/>
      <c r="Q30" s="868" t="s">
        <v>812</v>
      </c>
      <c r="R30" s="868"/>
      <c r="S30" s="868"/>
      <c r="T30" s="867" t="s">
        <v>813</v>
      </c>
      <c r="U30" s="867"/>
      <c r="V30" s="867"/>
      <c r="W30" s="401"/>
      <c r="X30" s="866"/>
      <c r="Y30" s="866"/>
      <c r="Z30" s="866"/>
      <c r="AA30" s="866"/>
      <c r="AB30" s="866"/>
      <c r="AC30" s="868"/>
      <c r="AD30" s="866"/>
      <c r="AE30" s="866"/>
      <c r="AF30" s="866"/>
      <c r="AG30" s="866"/>
      <c r="AH30" s="868" t="s">
        <v>812</v>
      </c>
      <c r="AI30" s="868"/>
      <c r="AJ30" s="868"/>
      <c r="AK30" s="867" t="s">
        <v>813</v>
      </c>
      <c r="AL30" s="867"/>
      <c r="AM30" s="867"/>
      <c r="AN30" s="308"/>
      <c r="AY30" s="870"/>
      <c r="AZ30" s="870"/>
      <c r="BA30" s="870"/>
      <c r="BB30" s="870"/>
      <c r="BC30" s="872"/>
      <c r="BD30" s="21"/>
    </row>
    <row r="31" spans="6:56" ht="15.95" customHeight="1">
      <c r="F31" s="303">
        <v>1</v>
      </c>
      <c r="G31" s="859"/>
      <c r="H31" s="860"/>
      <c r="I31" s="860"/>
      <c r="J31" s="860"/>
      <c r="K31" s="861"/>
      <c r="L31" s="402"/>
      <c r="M31" s="857"/>
      <c r="N31" s="857"/>
      <c r="O31" s="862"/>
      <c r="P31" s="863"/>
      <c r="Q31" s="858"/>
      <c r="R31" s="858"/>
      <c r="S31" s="858"/>
      <c r="T31" s="858"/>
      <c r="U31" s="858"/>
      <c r="V31" s="858"/>
      <c r="W31" s="401"/>
      <c r="X31" s="856"/>
      <c r="Y31" s="856"/>
      <c r="Z31" s="856"/>
      <c r="AA31" s="856"/>
      <c r="AB31" s="856"/>
      <c r="AC31" s="403" t="str">
        <f>IF(BC31&lt;&gt;"","",BA31/AF31)</f>
        <v/>
      </c>
      <c r="AD31" s="857"/>
      <c r="AE31" s="857"/>
      <c r="AF31" s="857"/>
      <c r="AG31" s="857"/>
      <c r="AH31" s="858"/>
      <c r="AI31" s="858"/>
      <c r="AJ31" s="858"/>
      <c r="AK31" s="858"/>
      <c r="AL31" s="858"/>
      <c r="AM31" s="858"/>
      <c r="AN31" s="308"/>
      <c r="AY31" s="336" t="str">
        <f>IF(BC31&lt;&gt;"","",(L31*M31))</f>
        <v/>
      </c>
      <c r="AZ31" s="336" t="str">
        <f>IF(BC31&lt;&gt;"","",(AC31*AD31))</f>
        <v/>
      </c>
      <c r="BA31" s="336" t="str">
        <f>IF(BC31&lt;&gt;"","",L31*O31)</f>
        <v/>
      </c>
      <c r="BB31" s="336" t="str">
        <f>IF(BC31&lt;&gt;"","",AC31*AF31)</f>
        <v/>
      </c>
      <c r="BC31" s="108" t="str">
        <f>IF(OR(ISBLANK(G31),ISBLANK(L31),ISBLANK(M31),ISBLANK(O31),ISBLANK(Q31),ISBLANK(T31),ISBLANK(X31),ISBLANK(AD31),ISBLANK(AD31),ISBLANK(AF31),ISBLANK(AH31),ISBLANK(AK31)),"Enter Info","")</f>
        <v>Enter Info</v>
      </c>
      <c r="BD31" s="21"/>
    </row>
    <row r="32" spans="6:56" ht="15.95" customHeight="1">
      <c r="F32" s="303">
        <v>2</v>
      </c>
      <c r="G32" s="859"/>
      <c r="H32" s="860"/>
      <c r="I32" s="860"/>
      <c r="J32" s="860"/>
      <c r="K32" s="861"/>
      <c r="L32" s="402"/>
      <c r="M32" s="857"/>
      <c r="N32" s="857"/>
      <c r="O32" s="862"/>
      <c r="P32" s="863"/>
      <c r="Q32" s="858"/>
      <c r="R32" s="858"/>
      <c r="S32" s="858"/>
      <c r="T32" s="858"/>
      <c r="U32" s="858"/>
      <c r="V32" s="858"/>
      <c r="W32" s="401"/>
      <c r="X32" s="856"/>
      <c r="Y32" s="856"/>
      <c r="Z32" s="856"/>
      <c r="AA32" s="856"/>
      <c r="AB32" s="856"/>
      <c r="AC32" s="403" t="str">
        <f>IF(BC32&lt;&gt;"","",BA32/AF32)</f>
        <v/>
      </c>
      <c r="AD32" s="857"/>
      <c r="AE32" s="857"/>
      <c r="AF32" s="857"/>
      <c r="AG32" s="857"/>
      <c r="AH32" s="858"/>
      <c r="AI32" s="858"/>
      <c r="AJ32" s="858"/>
      <c r="AK32" s="858"/>
      <c r="AL32" s="858"/>
      <c r="AM32" s="858"/>
      <c r="AN32" s="308"/>
      <c r="AY32" s="336" t="str">
        <f>IF(BC32&lt;&gt;"","",(L32*M32))</f>
        <v/>
      </c>
      <c r="AZ32" s="336" t="str">
        <f>IF(BC32&lt;&gt;"","",(AC32*AD32))</f>
        <v/>
      </c>
      <c r="BA32" s="336" t="str">
        <f>IF(BC32&lt;&gt;"","",L32*O32)</f>
        <v/>
      </c>
      <c r="BB32" s="336" t="str">
        <f>IF(BC32&lt;&gt;"","",AC32*AF32)</f>
        <v/>
      </c>
      <c r="BC32" s="108" t="str">
        <f>IF(OR(ISBLANK(G32),ISBLANK(L32),ISBLANK(M32),ISBLANK(O32),ISBLANK(Q32),ISBLANK(T32),ISBLANK(X32),ISBLANK(AD32),ISBLANK(AD32),ISBLANK(AF32),ISBLANK(AH32),ISBLANK(AK32)),"Enter Info","")</f>
        <v>Enter Info</v>
      </c>
      <c r="BD32" s="21"/>
    </row>
    <row r="33" spans="6:56" ht="15.95" customHeight="1">
      <c r="F33" s="303">
        <v>3</v>
      </c>
      <c r="G33" s="859"/>
      <c r="H33" s="860"/>
      <c r="I33" s="860"/>
      <c r="J33" s="860"/>
      <c r="K33" s="861"/>
      <c r="L33" s="402"/>
      <c r="M33" s="857"/>
      <c r="N33" s="857"/>
      <c r="O33" s="862"/>
      <c r="P33" s="863"/>
      <c r="Q33" s="858"/>
      <c r="R33" s="858"/>
      <c r="S33" s="858"/>
      <c r="T33" s="858"/>
      <c r="U33" s="858"/>
      <c r="V33" s="858"/>
      <c r="W33" s="401"/>
      <c r="X33" s="856"/>
      <c r="Y33" s="856"/>
      <c r="Z33" s="856"/>
      <c r="AA33" s="856"/>
      <c r="AB33" s="856"/>
      <c r="AC33" s="403" t="str">
        <f>IF(BC33&lt;&gt;"","",BA33/AF33)</f>
        <v/>
      </c>
      <c r="AD33" s="857"/>
      <c r="AE33" s="857"/>
      <c r="AF33" s="857"/>
      <c r="AG33" s="857"/>
      <c r="AH33" s="858"/>
      <c r="AI33" s="858"/>
      <c r="AJ33" s="858"/>
      <c r="AK33" s="858"/>
      <c r="AL33" s="858"/>
      <c r="AM33" s="858"/>
      <c r="AN33" s="308"/>
      <c r="AY33" s="336" t="str">
        <f>IF(BC33&lt;&gt;"","",(L33*M33))</f>
        <v/>
      </c>
      <c r="AZ33" s="336" t="str">
        <f>IF(BC33&lt;&gt;"","",(AC33*AD33))</f>
        <v/>
      </c>
      <c r="BA33" s="336" t="str">
        <f>IF(BC33&lt;&gt;"","",L33*O33)</f>
        <v/>
      </c>
      <c r="BB33" s="336" t="str">
        <f>IF(BC33&lt;&gt;"","",AC33*AF33)</f>
        <v/>
      </c>
      <c r="BC33" s="108" t="str">
        <f>IF(OR(ISBLANK(G33),ISBLANK(L33),ISBLANK(M33),ISBLANK(O33),ISBLANK(Q33),ISBLANK(T33),ISBLANK(X33),ISBLANK(AD33),ISBLANK(AD33),ISBLANK(AF33),ISBLANK(AH33),ISBLANK(AK33)),"Enter Info","")</f>
        <v>Enter Info</v>
      </c>
      <c r="BD33" s="21"/>
    </row>
    <row r="34" spans="6:56" ht="15.95" customHeight="1">
      <c r="F34" s="303">
        <v>4</v>
      </c>
      <c r="G34" s="859"/>
      <c r="H34" s="860"/>
      <c r="I34" s="860"/>
      <c r="J34" s="860"/>
      <c r="K34" s="861"/>
      <c r="L34" s="402"/>
      <c r="M34" s="857"/>
      <c r="N34" s="857"/>
      <c r="O34" s="862"/>
      <c r="P34" s="863"/>
      <c r="Q34" s="858"/>
      <c r="R34" s="858"/>
      <c r="S34" s="858"/>
      <c r="T34" s="858"/>
      <c r="U34" s="858"/>
      <c r="V34" s="858"/>
      <c r="W34" s="401"/>
      <c r="X34" s="856"/>
      <c r="Y34" s="856"/>
      <c r="Z34" s="856"/>
      <c r="AA34" s="856"/>
      <c r="AB34" s="856"/>
      <c r="AC34" s="403" t="str">
        <f>IF(BC34&lt;&gt;"","",BA34/AF34)</f>
        <v/>
      </c>
      <c r="AD34" s="857"/>
      <c r="AE34" s="857"/>
      <c r="AF34" s="857"/>
      <c r="AG34" s="857"/>
      <c r="AH34" s="858"/>
      <c r="AI34" s="858"/>
      <c r="AJ34" s="858"/>
      <c r="AK34" s="858"/>
      <c r="AL34" s="858"/>
      <c r="AM34" s="858"/>
      <c r="AN34" s="308"/>
      <c r="AY34" s="336" t="str">
        <f>IF(BC34&lt;&gt;"","",(L34*M34))</f>
        <v/>
      </c>
      <c r="AZ34" s="336" t="str">
        <f>IF(BC34&lt;&gt;"","",(AC34*AD34))</f>
        <v/>
      </c>
      <c r="BA34" s="336" t="str">
        <f>IF(BC34&lt;&gt;"","",L34*O34)</f>
        <v/>
      </c>
      <c r="BB34" s="336" t="str">
        <f>IF(BC34&lt;&gt;"","",AC34*AF34)</f>
        <v/>
      </c>
      <c r="BC34" s="108" t="str">
        <f>IF(OR(ISBLANK(G34),ISBLANK(L34),ISBLANK(M34),ISBLANK(O34),ISBLANK(Q34),ISBLANK(T34),ISBLANK(X34),ISBLANK(AD34),ISBLANK(AD34),ISBLANK(AF34),ISBLANK(AH34),ISBLANK(AK34)),"Enter Info","")</f>
        <v>Enter Info</v>
      </c>
      <c r="BD34" s="21"/>
    </row>
    <row r="35" spans="6:56" ht="15.95" customHeight="1">
      <c r="F35" s="303">
        <v>5</v>
      </c>
      <c r="G35" s="859"/>
      <c r="H35" s="860"/>
      <c r="I35" s="860"/>
      <c r="J35" s="860"/>
      <c r="K35" s="861"/>
      <c r="L35" s="402"/>
      <c r="M35" s="857"/>
      <c r="N35" s="857"/>
      <c r="O35" s="862"/>
      <c r="P35" s="863"/>
      <c r="Q35" s="858"/>
      <c r="R35" s="858"/>
      <c r="S35" s="858"/>
      <c r="T35" s="858"/>
      <c r="U35" s="858"/>
      <c r="V35" s="858"/>
      <c r="W35" s="401"/>
      <c r="X35" s="856"/>
      <c r="Y35" s="856"/>
      <c r="Z35" s="856"/>
      <c r="AA35" s="856"/>
      <c r="AB35" s="856"/>
      <c r="AC35" s="403" t="str">
        <f>IF(BC35&lt;&gt;"","",BA35/AF35)</f>
        <v/>
      </c>
      <c r="AD35" s="857"/>
      <c r="AE35" s="857"/>
      <c r="AF35" s="857"/>
      <c r="AG35" s="857"/>
      <c r="AH35" s="858"/>
      <c r="AI35" s="858"/>
      <c r="AJ35" s="858"/>
      <c r="AK35" s="858"/>
      <c r="AL35" s="858"/>
      <c r="AM35" s="858"/>
      <c r="AN35" s="308"/>
      <c r="AY35" s="336" t="str">
        <f>IF(BC35&lt;&gt;"","",(L35*M35))</f>
        <v/>
      </c>
      <c r="AZ35" s="336" t="str">
        <f>IF(BC35&lt;&gt;"","",(AC35*AD35))</f>
        <v/>
      </c>
      <c r="BA35" s="336" t="str">
        <f>IF(BC35&lt;&gt;"","",L35*O35)</f>
        <v/>
      </c>
      <c r="BB35" s="336" t="str">
        <f>IF(BC35&lt;&gt;"","",AC35*AF35)</f>
        <v/>
      </c>
      <c r="BC35" s="108" t="str">
        <f>IF(OR(ISBLANK(G35),ISBLANK(L35),ISBLANK(M35),ISBLANK(O35),ISBLANK(Q35),ISBLANK(T35),ISBLANK(X35),ISBLANK(AD35),ISBLANK(AD35),ISBLANK(AF35),ISBLANK(AH35),ISBLANK(AK35)),"Enter Info","")</f>
        <v>Enter Info</v>
      </c>
      <c r="BD35" s="21"/>
    </row>
    <row r="36" spans="6:56" ht="15.95" customHeight="1">
      <c r="F36" s="303"/>
      <c r="G36" s="404"/>
      <c r="H36" s="404"/>
      <c r="I36" s="404"/>
      <c r="J36" s="404"/>
      <c r="K36" s="404"/>
      <c r="L36" s="404"/>
      <c r="M36" s="404"/>
      <c r="N36" s="404"/>
      <c r="O36" s="404"/>
      <c r="P36" s="404"/>
      <c r="Q36" s="855">
        <f>SUM(Q31:R35)</f>
        <v>0</v>
      </c>
      <c r="R36" s="855"/>
      <c r="S36" s="855"/>
      <c r="T36" s="855">
        <f>SUM(T31:U35)</f>
        <v>0</v>
      </c>
      <c r="U36" s="855"/>
      <c r="V36" s="855"/>
      <c r="W36" s="401"/>
      <c r="X36" s="405"/>
      <c r="Y36" s="405"/>
      <c r="Z36" s="405"/>
      <c r="AA36" s="405"/>
      <c r="AB36" s="405"/>
      <c r="AC36" s="405"/>
      <c r="AD36" s="405"/>
      <c r="AE36" s="405"/>
      <c r="AF36" s="405"/>
      <c r="AG36" s="405"/>
      <c r="AH36" s="855">
        <f>SUM(AH31:AI35)</f>
        <v>0</v>
      </c>
      <c r="AI36" s="855"/>
      <c r="AJ36" s="855"/>
      <c r="AK36" s="855">
        <f>SUM(AK31:AL35)</f>
        <v>0</v>
      </c>
      <c r="AL36" s="855"/>
      <c r="AM36" s="855"/>
      <c r="AN36" s="308"/>
      <c r="AY36" s="337">
        <f>SUM(AY31:AY35)</f>
        <v>0</v>
      </c>
      <c r="AZ36" s="337">
        <f>SUM(AZ31:AZ35)</f>
        <v>0</v>
      </c>
      <c r="BA36" s="337">
        <f>SUM(BA31:BA35)</f>
        <v>0</v>
      </c>
      <c r="BB36" s="337">
        <f>SUM(BB31:BB35)</f>
        <v>0</v>
      </c>
      <c r="BC36" s="21"/>
      <c r="BD36" s="21"/>
    </row>
    <row r="37" spans="6:56" ht="15.95" customHeight="1">
      <c r="F37" s="310"/>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c r="AJ37" s="307"/>
      <c r="AK37" s="307"/>
      <c r="AL37" s="307"/>
      <c r="AM37" s="307"/>
      <c r="AN37" s="312"/>
      <c r="AY37" s="21"/>
      <c r="AZ37" s="21"/>
      <c r="BA37" s="21"/>
      <c r="BB37" s="21"/>
      <c r="BC37" s="21"/>
      <c r="BD37" s="21"/>
    </row>
    <row r="38" spans="6:56" ht="15.95" customHeight="1"/>
    <row r="39" spans="6:56" ht="15.95" customHeight="1">
      <c r="F39" s="417" t="s">
        <v>1919</v>
      </c>
      <c r="AF39" s="13"/>
      <c r="AY39" s="21"/>
      <c r="AZ39" s="21"/>
      <c r="BA39" s="21"/>
      <c r="BB39" s="21"/>
      <c r="BC39" s="21"/>
      <c r="BD39" s="21"/>
    </row>
    <row r="40" spans="6:56" ht="15.95" customHeight="1">
      <c r="F40" s="25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2"/>
      <c r="AY40" s="21"/>
      <c r="AZ40" s="21"/>
      <c r="BA40" s="21"/>
      <c r="BB40" s="21"/>
      <c r="BC40" s="21"/>
      <c r="BD40" s="21"/>
    </row>
    <row r="41" spans="6:56" ht="15.95" customHeight="1">
      <c r="F41" s="334"/>
      <c r="G41" s="873" t="s">
        <v>1728</v>
      </c>
      <c r="H41" s="873"/>
      <c r="I41" s="873"/>
      <c r="J41" s="873"/>
      <c r="K41" s="873"/>
      <c r="L41" s="873"/>
      <c r="M41" s="873"/>
      <c r="N41" s="873"/>
      <c r="O41" s="873"/>
      <c r="P41" s="873"/>
      <c r="Q41" s="873"/>
      <c r="R41" s="873"/>
      <c r="S41" s="873"/>
      <c r="T41" s="873"/>
      <c r="U41" s="873"/>
      <c r="V41" s="873"/>
      <c r="W41" s="401"/>
      <c r="X41" s="873" t="s">
        <v>1661</v>
      </c>
      <c r="Y41" s="873"/>
      <c r="Z41" s="873"/>
      <c r="AA41" s="873"/>
      <c r="AB41" s="873"/>
      <c r="AC41" s="873"/>
      <c r="AD41" s="873"/>
      <c r="AE41" s="873"/>
      <c r="AF41" s="873"/>
      <c r="AG41" s="873"/>
      <c r="AH41" s="873"/>
      <c r="AI41" s="873"/>
      <c r="AJ41" s="873"/>
      <c r="AK41" s="873"/>
      <c r="AL41" s="873"/>
      <c r="AM41" s="873"/>
      <c r="AN41" s="335"/>
      <c r="AY41" s="864" t="s">
        <v>1664</v>
      </c>
      <c r="AZ41" s="864"/>
      <c r="BA41" s="864"/>
      <c r="BB41" s="864"/>
      <c r="BC41" s="864"/>
      <c r="BD41" s="864"/>
    </row>
    <row r="42" spans="6:56" ht="15.95" customHeight="1">
      <c r="F42" s="303"/>
      <c r="G42" s="865" t="s">
        <v>1867</v>
      </c>
      <c r="H42" s="865"/>
      <c r="I42" s="865"/>
      <c r="J42" s="865"/>
      <c r="K42" s="865"/>
      <c r="L42" s="867" t="s">
        <v>1483</v>
      </c>
      <c r="M42" s="865" t="s">
        <v>1482</v>
      </c>
      <c r="N42" s="865"/>
      <c r="O42" s="865" t="s">
        <v>1660</v>
      </c>
      <c r="P42" s="865"/>
      <c r="Q42" s="867" t="s">
        <v>814</v>
      </c>
      <c r="R42" s="867"/>
      <c r="S42" s="867"/>
      <c r="T42" s="867"/>
      <c r="U42" s="867"/>
      <c r="V42" s="867"/>
      <c r="W42" s="401"/>
      <c r="X42" s="865" t="s">
        <v>943</v>
      </c>
      <c r="Y42" s="865"/>
      <c r="Z42" s="865"/>
      <c r="AA42" s="865"/>
      <c r="AB42" s="865"/>
      <c r="AC42" s="867" t="s">
        <v>1483</v>
      </c>
      <c r="AD42" s="865" t="s">
        <v>1482</v>
      </c>
      <c r="AE42" s="865"/>
      <c r="AF42" s="865" t="s">
        <v>1660</v>
      </c>
      <c r="AG42" s="865"/>
      <c r="AH42" s="867" t="s">
        <v>814</v>
      </c>
      <c r="AI42" s="867"/>
      <c r="AJ42" s="867"/>
      <c r="AK42" s="867"/>
      <c r="AL42" s="867"/>
      <c r="AM42" s="867"/>
      <c r="AN42" s="304"/>
      <c r="AY42" s="869" t="s">
        <v>1663</v>
      </c>
      <c r="AZ42" s="869" t="s">
        <v>1662</v>
      </c>
      <c r="BA42" s="869" t="s">
        <v>1665</v>
      </c>
      <c r="BB42" s="869" t="s">
        <v>1666</v>
      </c>
      <c r="BC42" s="871" t="s">
        <v>185</v>
      </c>
      <c r="BD42" s="21"/>
    </row>
    <row r="43" spans="6:56" ht="15.95" customHeight="1">
      <c r="F43" s="303"/>
      <c r="G43" s="866"/>
      <c r="H43" s="866"/>
      <c r="I43" s="866"/>
      <c r="J43" s="866"/>
      <c r="K43" s="866"/>
      <c r="L43" s="868"/>
      <c r="M43" s="866"/>
      <c r="N43" s="866"/>
      <c r="O43" s="866"/>
      <c r="P43" s="866"/>
      <c r="Q43" s="868" t="s">
        <v>812</v>
      </c>
      <c r="R43" s="868"/>
      <c r="S43" s="868"/>
      <c r="T43" s="867" t="s">
        <v>813</v>
      </c>
      <c r="U43" s="867"/>
      <c r="V43" s="867"/>
      <c r="W43" s="401"/>
      <c r="X43" s="866"/>
      <c r="Y43" s="866"/>
      <c r="Z43" s="866"/>
      <c r="AA43" s="866"/>
      <c r="AB43" s="866"/>
      <c r="AC43" s="868"/>
      <c r="AD43" s="866"/>
      <c r="AE43" s="866"/>
      <c r="AF43" s="866"/>
      <c r="AG43" s="866"/>
      <c r="AH43" s="868" t="s">
        <v>812</v>
      </c>
      <c r="AI43" s="868"/>
      <c r="AJ43" s="868"/>
      <c r="AK43" s="867" t="s">
        <v>813</v>
      </c>
      <c r="AL43" s="867"/>
      <c r="AM43" s="867"/>
      <c r="AN43" s="308"/>
      <c r="AY43" s="870"/>
      <c r="AZ43" s="870"/>
      <c r="BA43" s="870"/>
      <c r="BB43" s="870"/>
      <c r="BC43" s="872"/>
      <c r="BD43" s="21"/>
    </row>
    <row r="44" spans="6:56" ht="15.95" customHeight="1">
      <c r="F44" s="303">
        <v>1</v>
      </c>
      <c r="G44" s="859"/>
      <c r="H44" s="860"/>
      <c r="I44" s="860"/>
      <c r="J44" s="860"/>
      <c r="K44" s="861"/>
      <c r="L44" s="402"/>
      <c r="M44" s="857"/>
      <c r="N44" s="857"/>
      <c r="O44" s="862"/>
      <c r="P44" s="863"/>
      <c r="Q44" s="858"/>
      <c r="R44" s="858"/>
      <c r="S44" s="858"/>
      <c r="T44" s="858"/>
      <c r="U44" s="858"/>
      <c r="V44" s="858"/>
      <c r="W44" s="401"/>
      <c r="X44" s="856"/>
      <c r="Y44" s="856"/>
      <c r="Z44" s="856"/>
      <c r="AA44" s="856"/>
      <c r="AB44" s="856"/>
      <c r="AC44" s="403" t="str">
        <f>IF(BC44&lt;&gt;"","",BA44/AF44)</f>
        <v/>
      </c>
      <c r="AD44" s="857"/>
      <c r="AE44" s="857"/>
      <c r="AF44" s="857"/>
      <c r="AG44" s="857"/>
      <c r="AH44" s="858"/>
      <c r="AI44" s="858"/>
      <c r="AJ44" s="858"/>
      <c r="AK44" s="858"/>
      <c r="AL44" s="858"/>
      <c r="AM44" s="858"/>
      <c r="AN44" s="308"/>
      <c r="AY44" s="336" t="str">
        <f>IF(BC44&lt;&gt;"","",(L44*M44))</f>
        <v/>
      </c>
      <c r="AZ44" s="336" t="str">
        <f>IF(BC44&lt;&gt;"","",(AC44*AD44))</f>
        <v/>
      </c>
      <c r="BA44" s="336" t="str">
        <f>IF(BC44&lt;&gt;"","",L44*O44)</f>
        <v/>
      </c>
      <c r="BB44" s="336" t="str">
        <f>IF(BC44&lt;&gt;"","",AC44*AF44)</f>
        <v/>
      </c>
      <c r="BC44" s="108" t="str">
        <f>IF(OR(ISBLANK(G44),ISBLANK(L44),ISBLANK(M44),ISBLANK(O44),ISBLANK(Q44),ISBLANK(T44),ISBLANK(X44),ISBLANK(AD44),ISBLANK(AD44),ISBLANK(AF44),ISBLANK(AH44),ISBLANK(AK44)),"Enter Info","")</f>
        <v>Enter Info</v>
      </c>
      <c r="BD44" s="21"/>
    </row>
    <row r="45" spans="6:56" ht="15.95" customHeight="1">
      <c r="F45" s="303">
        <v>2</v>
      </c>
      <c r="G45" s="859"/>
      <c r="H45" s="860"/>
      <c r="I45" s="860"/>
      <c r="J45" s="860"/>
      <c r="K45" s="861"/>
      <c r="L45" s="402"/>
      <c r="M45" s="857"/>
      <c r="N45" s="857"/>
      <c r="O45" s="862"/>
      <c r="P45" s="863"/>
      <c r="Q45" s="858"/>
      <c r="R45" s="858"/>
      <c r="S45" s="858"/>
      <c r="T45" s="858"/>
      <c r="U45" s="858"/>
      <c r="V45" s="858"/>
      <c r="W45" s="401"/>
      <c r="X45" s="856"/>
      <c r="Y45" s="856"/>
      <c r="Z45" s="856"/>
      <c r="AA45" s="856"/>
      <c r="AB45" s="856"/>
      <c r="AC45" s="403" t="str">
        <f>IF(BC45&lt;&gt;"","",BA45/AF45)</f>
        <v/>
      </c>
      <c r="AD45" s="857"/>
      <c r="AE45" s="857"/>
      <c r="AF45" s="857"/>
      <c r="AG45" s="857"/>
      <c r="AH45" s="858"/>
      <c r="AI45" s="858"/>
      <c r="AJ45" s="858"/>
      <c r="AK45" s="858"/>
      <c r="AL45" s="858"/>
      <c r="AM45" s="858"/>
      <c r="AN45" s="308"/>
      <c r="AY45" s="336" t="str">
        <f>IF(BC45&lt;&gt;"","",(L45*M45))</f>
        <v/>
      </c>
      <c r="AZ45" s="336" t="str">
        <f>IF(BC45&lt;&gt;"","",(AC45*AD45))</f>
        <v/>
      </c>
      <c r="BA45" s="336" t="str">
        <f>IF(BC45&lt;&gt;"","",L45*O45)</f>
        <v/>
      </c>
      <c r="BB45" s="336" t="str">
        <f>IF(BC45&lt;&gt;"","",AC45*AF45)</f>
        <v/>
      </c>
      <c r="BC45" s="108" t="str">
        <f>IF(OR(ISBLANK(G45),ISBLANK(L45),ISBLANK(M45),ISBLANK(O45),ISBLANK(Q45),ISBLANK(T45),ISBLANK(X45),ISBLANK(AD45),ISBLANK(AD45),ISBLANK(AF45),ISBLANK(AH45),ISBLANK(AK45)),"Enter Info","")</f>
        <v>Enter Info</v>
      </c>
      <c r="BD45" s="21"/>
    </row>
    <row r="46" spans="6:56" ht="15.95" customHeight="1">
      <c r="F46" s="303">
        <v>3</v>
      </c>
      <c r="G46" s="859"/>
      <c r="H46" s="860"/>
      <c r="I46" s="860"/>
      <c r="J46" s="860"/>
      <c r="K46" s="861"/>
      <c r="L46" s="402"/>
      <c r="M46" s="857"/>
      <c r="N46" s="857"/>
      <c r="O46" s="862"/>
      <c r="P46" s="863"/>
      <c r="Q46" s="858"/>
      <c r="R46" s="858"/>
      <c r="S46" s="858"/>
      <c r="T46" s="858"/>
      <c r="U46" s="858"/>
      <c r="V46" s="858"/>
      <c r="W46" s="401"/>
      <c r="X46" s="856"/>
      <c r="Y46" s="856"/>
      <c r="Z46" s="856"/>
      <c r="AA46" s="856"/>
      <c r="AB46" s="856"/>
      <c r="AC46" s="403" t="str">
        <f>IF(BC46&lt;&gt;"","",BA46/AF46)</f>
        <v/>
      </c>
      <c r="AD46" s="857"/>
      <c r="AE46" s="857"/>
      <c r="AF46" s="857"/>
      <c r="AG46" s="857"/>
      <c r="AH46" s="858"/>
      <c r="AI46" s="858"/>
      <c r="AJ46" s="858"/>
      <c r="AK46" s="858"/>
      <c r="AL46" s="858"/>
      <c r="AM46" s="858"/>
      <c r="AN46" s="308"/>
      <c r="AY46" s="336" t="str">
        <f>IF(BC46&lt;&gt;"","",(L46*M46))</f>
        <v/>
      </c>
      <c r="AZ46" s="336" t="str">
        <f>IF(BC46&lt;&gt;"","",(AC46*AD46))</f>
        <v/>
      </c>
      <c r="BA46" s="336" t="str">
        <f>IF(BC46&lt;&gt;"","",L46*O46)</f>
        <v/>
      </c>
      <c r="BB46" s="336" t="str">
        <f>IF(BC46&lt;&gt;"","",AC46*AF46)</f>
        <v/>
      </c>
      <c r="BC46" s="108" t="str">
        <f>IF(OR(ISBLANK(G46),ISBLANK(L46),ISBLANK(M46),ISBLANK(O46),ISBLANK(Q46),ISBLANK(T46),ISBLANK(X46),ISBLANK(AD46),ISBLANK(AD46),ISBLANK(AF46),ISBLANK(AH46),ISBLANK(AK46)),"Enter Info","")</f>
        <v>Enter Info</v>
      </c>
      <c r="BD46" s="21"/>
    </row>
    <row r="47" spans="6:56" ht="15.95" customHeight="1">
      <c r="F47" s="303">
        <v>4</v>
      </c>
      <c r="G47" s="859"/>
      <c r="H47" s="860"/>
      <c r="I47" s="860"/>
      <c r="J47" s="860"/>
      <c r="K47" s="861"/>
      <c r="L47" s="402"/>
      <c r="M47" s="857"/>
      <c r="N47" s="857"/>
      <c r="O47" s="862"/>
      <c r="P47" s="863"/>
      <c r="Q47" s="858"/>
      <c r="R47" s="858"/>
      <c r="S47" s="858"/>
      <c r="T47" s="858"/>
      <c r="U47" s="858"/>
      <c r="V47" s="858"/>
      <c r="W47" s="401"/>
      <c r="X47" s="856"/>
      <c r="Y47" s="856"/>
      <c r="Z47" s="856"/>
      <c r="AA47" s="856"/>
      <c r="AB47" s="856"/>
      <c r="AC47" s="403" t="str">
        <f>IF(BC47&lt;&gt;"","",BA47/AF47)</f>
        <v/>
      </c>
      <c r="AD47" s="857"/>
      <c r="AE47" s="857"/>
      <c r="AF47" s="857"/>
      <c r="AG47" s="857"/>
      <c r="AH47" s="858"/>
      <c r="AI47" s="858"/>
      <c r="AJ47" s="858"/>
      <c r="AK47" s="858"/>
      <c r="AL47" s="858"/>
      <c r="AM47" s="858"/>
      <c r="AN47" s="308"/>
      <c r="AY47" s="336" t="str">
        <f>IF(BC47&lt;&gt;"","",(L47*M47))</f>
        <v/>
      </c>
      <c r="AZ47" s="336" t="str">
        <f>IF(BC47&lt;&gt;"","",(AC47*AD47))</f>
        <v/>
      </c>
      <c r="BA47" s="336" t="str">
        <f>IF(BC47&lt;&gt;"","",L47*O47)</f>
        <v/>
      </c>
      <c r="BB47" s="336" t="str">
        <f>IF(BC47&lt;&gt;"","",AC47*AF47)</f>
        <v/>
      </c>
      <c r="BC47" s="108" t="str">
        <f>IF(OR(ISBLANK(G47),ISBLANK(L47),ISBLANK(M47),ISBLANK(O47),ISBLANK(Q47),ISBLANK(T47),ISBLANK(X47),ISBLANK(AD47),ISBLANK(AD47),ISBLANK(AF47),ISBLANK(AH47),ISBLANK(AK47)),"Enter Info","")</f>
        <v>Enter Info</v>
      </c>
      <c r="BD47" s="21"/>
    </row>
    <row r="48" spans="6:56" ht="15.95" customHeight="1">
      <c r="F48" s="303">
        <v>5</v>
      </c>
      <c r="G48" s="859"/>
      <c r="H48" s="860"/>
      <c r="I48" s="860"/>
      <c r="J48" s="860"/>
      <c r="K48" s="861"/>
      <c r="L48" s="402"/>
      <c r="M48" s="857"/>
      <c r="N48" s="857"/>
      <c r="O48" s="862"/>
      <c r="P48" s="863"/>
      <c r="Q48" s="858"/>
      <c r="R48" s="858"/>
      <c r="S48" s="858"/>
      <c r="T48" s="858"/>
      <c r="U48" s="858"/>
      <c r="V48" s="858"/>
      <c r="W48" s="401"/>
      <c r="X48" s="856"/>
      <c r="Y48" s="856"/>
      <c r="Z48" s="856"/>
      <c r="AA48" s="856"/>
      <c r="AB48" s="856"/>
      <c r="AC48" s="403" t="str">
        <f>IF(BC48&lt;&gt;"","",BA48/AF48)</f>
        <v/>
      </c>
      <c r="AD48" s="857"/>
      <c r="AE48" s="857"/>
      <c r="AF48" s="857"/>
      <c r="AG48" s="857"/>
      <c r="AH48" s="858"/>
      <c r="AI48" s="858"/>
      <c r="AJ48" s="858"/>
      <c r="AK48" s="858"/>
      <c r="AL48" s="858"/>
      <c r="AM48" s="858"/>
      <c r="AN48" s="308"/>
      <c r="AY48" s="336" t="str">
        <f>IF(BC48&lt;&gt;"","",(L48*M48))</f>
        <v/>
      </c>
      <c r="AZ48" s="336" t="str">
        <f>IF(BC48&lt;&gt;"","",(AC48*AD48))</f>
        <v/>
      </c>
      <c r="BA48" s="336" t="str">
        <f>IF(BC48&lt;&gt;"","",L48*O48)</f>
        <v/>
      </c>
      <c r="BB48" s="336" t="str">
        <f>IF(BC48&lt;&gt;"","",AC48*AF48)</f>
        <v/>
      </c>
      <c r="BC48" s="108" t="str">
        <f>IF(OR(ISBLANK(G48),ISBLANK(L48),ISBLANK(M48),ISBLANK(O48),ISBLANK(Q48),ISBLANK(T48),ISBLANK(X48),ISBLANK(AD48),ISBLANK(AD48),ISBLANK(AF48),ISBLANK(AH48),ISBLANK(AK48)),"Enter Info","")</f>
        <v>Enter Info</v>
      </c>
      <c r="BD48" s="21"/>
    </row>
    <row r="49" spans="6:56" ht="15.95" customHeight="1">
      <c r="F49" s="303"/>
      <c r="G49" s="404"/>
      <c r="H49" s="404"/>
      <c r="I49" s="404"/>
      <c r="J49" s="404"/>
      <c r="K49" s="404"/>
      <c r="L49" s="404"/>
      <c r="M49" s="404"/>
      <c r="N49" s="404"/>
      <c r="O49" s="404"/>
      <c r="P49" s="404"/>
      <c r="Q49" s="855">
        <f>SUM(Q44:R48)</f>
        <v>0</v>
      </c>
      <c r="R49" s="855"/>
      <c r="S49" s="855"/>
      <c r="T49" s="855">
        <f>SUM(T44:U48)</f>
        <v>0</v>
      </c>
      <c r="U49" s="855"/>
      <c r="V49" s="855"/>
      <c r="W49" s="401"/>
      <c r="X49" s="405"/>
      <c r="Y49" s="405"/>
      <c r="Z49" s="405"/>
      <c r="AA49" s="405"/>
      <c r="AB49" s="405"/>
      <c r="AC49" s="405"/>
      <c r="AD49" s="405"/>
      <c r="AE49" s="405"/>
      <c r="AF49" s="405"/>
      <c r="AG49" s="405"/>
      <c r="AH49" s="855">
        <f>SUM(AH44:AI48)</f>
        <v>0</v>
      </c>
      <c r="AI49" s="855"/>
      <c r="AJ49" s="855"/>
      <c r="AK49" s="855">
        <f>SUM(AK44:AL48)</f>
        <v>0</v>
      </c>
      <c r="AL49" s="855"/>
      <c r="AM49" s="855"/>
      <c r="AN49" s="308"/>
      <c r="AY49" s="337">
        <f>SUM(AY44:AY48)</f>
        <v>0</v>
      </c>
      <c r="AZ49" s="337">
        <f>SUM(AZ44:AZ48)</f>
        <v>0</v>
      </c>
      <c r="BA49" s="337">
        <f>SUM(BA44:BA48)</f>
        <v>0</v>
      </c>
      <c r="BB49" s="337">
        <f>SUM(BB44:BB48)</f>
        <v>0</v>
      </c>
      <c r="BC49" s="21"/>
      <c r="BD49" s="21"/>
    </row>
    <row r="50" spans="6:56" ht="15.95" customHeight="1">
      <c r="F50" s="310"/>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307"/>
      <c r="AL50" s="307"/>
      <c r="AM50" s="307"/>
      <c r="AN50" s="312"/>
      <c r="AY50" s="21"/>
      <c r="AZ50" s="21"/>
      <c r="BA50" s="21"/>
      <c r="BB50" s="21"/>
      <c r="BC50" s="21"/>
      <c r="BD50" s="21"/>
    </row>
    <row r="51" spans="6:56" ht="15.95" customHeight="1"/>
    <row r="52" spans="6:56" ht="15.95" customHeight="1">
      <c r="F52" s="417" t="s">
        <v>1921</v>
      </c>
      <c r="AF52" s="13"/>
      <c r="AY52" s="21"/>
      <c r="AZ52" s="21"/>
      <c r="BA52" s="21"/>
      <c r="BB52" s="21"/>
      <c r="BC52" s="21"/>
      <c r="BD52" s="21"/>
    </row>
    <row r="53" spans="6:56" ht="15.95" customHeight="1">
      <c r="F53" s="25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2"/>
      <c r="AY53" s="21"/>
      <c r="AZ53" s="21"/>
      <c r="BA53" s="21"/>
      <c r="BB53" s="21"/>
      <c r="BC53" s="21"/>
      <c r="BD53" s="21"/>
    </row>
    <row r="54" spans="6:56" ht="15.95" customHeight="1">
      <c r="F54" s="334"/>
      <c r="G54" s="873" t="s">
        <v>1728</v>
      </c>
      <c r="H54" s="873"/>
      <c r="I54" s="873"/>
      <c r="J54" s="873"/>
      <c r="K54" s="873"/>
      <c r="L54" s="873"/>
      <c r="M54" s="873"/>
      <c r="N54" s="873"/>
      <c r="O54" s="873"/>
      <c r="P54" s="873"/>
      <c r="Q54" s="873"/>
      <c r="R54" s="873"/>
      <c r="S54" s="873"/>
      <c r="T54" s="873"/>
      <c r="U54" s="873"/>
      <c r="V54" s="873"/>
      <c r="W54" s="401"/>
      <c r="X54" s="873" t="s">
        <v>1661</v>
      </c>
      <c r="Y54" s="873"/>
      <c r="Z54" s="873"/>
      <c r="AA54" s="873"/>
      <c r="AB54" s="873"/>
      <c r="AC54" s="873"/>
      <c r="AD54" s="873"/>
      <c r="AE54" s="873"/>
      <c r="AF54" s="873"/>
      <c r="AG54" s="873"/>
      <c r="AH54" s="873"/>
      <c r="AI54" s="873"/>
      <c r="AJ54" s="873"/>
      <c r="AK54" s="873"/>
      <c r="AL54" s="873"/>
      <c r="AM54" s="873"/>
      <c r="AN54" s="335"/>
      <c r="AY54" s="864" t="s">
        <v>1664</v>
      </c>
      <c r="AZ54" s="864"/>
      <c r="BA54" s="864"/>
      <c r="BB54" s="864"/>
      <c r="BC54" s="864"/>
      <c r="BD54" s="864"/>
    </row>
    <row r="55" spans="6:56" ht="15.95" customHeight="1">
      <c r="F55" s="303"/>
      <c r="G55" s="865" t="s">
        <v>1867</v>
      </c>
      <c r="H55" s="865"/>
      <c r="I55" s="865"/>
      <c r="J55" s="865"/>
      <c r="K55" s="865"/>
      <c r="L55" s="867" t="s">
        <v>1483</v>
      </c>
      <c r="M55" s="865" t="s">
        <v>1482</v>
      </c>
      <c r="N55" s="865"/>
      <c r="O55" s="865" t="s">
        <v>1660</v>
      </c>
      <c r="P55" s="865"/>
      <c r="Q55" s="867" t="s">
        <v>814</v>
      </c>
      <c r="R55" s="867"/>
      <c r="S55" s="867"/>
      <c r="T55" s="867"/>
      <c r="U55" s="867"/>
      <c r="V55" s="867"/>
      <c r="W55" s="401"/>
      <c r="X55" s="865" t="s">
        <v>943</v>
      </c>
      <c r="Y55" s="865"/>
      <c r="Z55" s="865"/>
      <c r="AA55" s="865"/>
      <c r="AB55" s="865"/>
      <c r="AC55" s="867" t="s">
        <v>1483</v>
      </c>
      <c r="AD55" s="865" t="s">
        <v>1482</v>
      </c>
      <c r="AE55" s="865"/>
      <c r="AF55" s="865" t="s">
        <v>1660</v>
      </c>
      <c r="AG55" s="865"/>
      <c r="AH55" s="867" t="s">
        <v>814</v>
      </c>
      <c r="AI55" s="867"/>
      <c r="AJ55" s="867"/>
      <c r="AK55" s="867"/>
      <c r="AL55" s="867"/>
      <c r="AM55" s="867"/>
      <c r="AN55" s="304"/>
      <c r="AY55" s="869" t="s">
        <v>1663</v>
      </c>
      <c r="AZ55" s="869" t="s">
        <v>1662</v>
      </c>
      <c r="BA55" s="869" t="s">
        <v>1665</v>
      </c>
      <c r="BB55" s="869" t="s">
        <v>1666</v>
      </c>
      <c r="BC55" s="871" t="s">
        <v>185</v>
      </c>
      <c r="BD55" s="21"/>
    </row>
    <row r="56" spans="6:56" ht="15.95" customHeight="1">
      <c r="F56" s="303"/>
      <c r="G56" s="866"/>
      <c r="H56" s="866"/>
      <c r="I56" s="866"/>
      <c r="J56" s="866"/>
      <c r="K56" s="866"/>
      <c r="L56" s="868"/>
      <c r="M56" s="866"/>
      <c r="N56" s="866"/>
      <c r="O56" s="866"/>
      <c r="P56" s="866"/>
      <c r="Q56" s="868" t="s">
        <v>812</v>
      </c>
      <c r="R56" s="868"/>
      <c r="S56" s="868"/>
      <c r="T56" s="867" t="s">
        <v>813</v>
      </c>
      <c r="U56" s="867"/>
      <c r="V56" s="867"/>
      <c r="W56" s="401"/>
      <c r="X56" s="866"/>
      <c r="Y56" s="866"/>
      <c r="Z56" s="866"/>
      <c r="AA56" s="866"/>
      <c r="AB56" s="866"/>
      <c r="AC56" s="868"/>
      <c r="AD56" s="866"/>
      <c r="AE56" s="866"/>
      <c r="AF56" s="866"/>
      <c r="AG56" s="866"/>
      <c r="AH56" s="868" t="s">
        <v>812</v>
      </c>
      <c r="AI56" s="868"/>
      <c r="AJ56" s="868"/>
      <c r="AK56" s="867" t="s">
        <v>813</v>
      </c>
      <c r="AL56" s="867"/>
      <c r="AM56" s="867"/>
      <c r="AN56" s="308"/>
      <c r="AY56" s="870"/>
      <c r="AZ56" s="870"/>
      <c r="BA56" s="870"/>
      <c r="BB56" s="870"/>
      <c r="BC56" s="872"/>
      <c r="BD56" s="21"/>
    </row>
    <row r="57" spans="6:56" ht="15.95" customHeight="1">
      <c r="F57" s="303">
        <v>1</v>
      </c>
      <c r="G57" s="859"/>
      <c r="H57" s="860"/>
      <c r="I57" s="860"/>
      <c r="J57" s="860"/>
      <c r="K57" s="861"/>
      <c r="L57" s="402"/>
      <c r="M57" s="857"/>
      <c r="N57" s="857"/>
      <c r="O57" s="862"/>
      <c r="P57" s="863"/>
      <c r="Q57" s="858"/>
      <c r="R57" s="858"/>
      <c r="S57" s="858"/>
      <c r="T57" s="858"/>
      <c r="U57" s="858"/>
      <c r="V57" s="858"/>
      <c r="W57" s="401"/>
      <c r="X57" s="856"/>
      <c r="Y57" s="856"/>
      <c r="Z57" s="856"/>
      <c r="AA57" s="856"/>
      <c r="AB57" s="856"/>
      <c r="AC57" s="403" t="str">
        <f>IF(BC57&lt;&gt;"","",BA57/AF57)</f>
        <v/>
      </c>
      <c r="AD57" s="857"/>
      <c r="AE57" s="857"/>
      <c r="AF57" s="857"/>
      <c r="AG57" s="857"/>
      <c r="AH57" s="858"/>
      <c r="AI57" s="858"/>
      <c r="AJ57" s="858"/>
      <c r="AK57" s="858"/>
      <c r="AL57" s="858"/>
      <c r="AM57" s="858"/>
      <c r="AN57" s="308"/>
      <c r="AY57" s="336" t="str">
        <f>IF(BC57&lt;&gt;"","",(L57*M57))</f>
        <v/>
      </c>
      <c r="AZ57" s="336" t="str">
        <f>IF(BC57&lt;&gt;"","",(AC57*AD57))</f>
        <v/>
      </c>
      <c r="BA57" s="336" t="str">
        <f>IF(BC57&lt;&gt;"","",L57*O57)</f>
        <v/>
      </c>
      <c r="BB57" s="336" t="str">
        <f>IF(BC57&lt;&gt;"","",AC57*AF57)</f>
        <v/>
      </c>
      <c r="BC57" s="108" t="str">
        <f>IF(OR(ISBLANK(G57),ISBLANK(L57),ISBLANK(M57),ISBLANK(O57),ISBLANK(Q57),ISBLANK(T57),ISBLANK(X57),ISBLANK(AD57),ISBLANK(AD57),ISBLANK(AF57),ISBLANK(AH57),ISBLANK(AK57)),"Enter Info","")</f>
        <v>Enter Info</v>
      </c>
      <c r="BD57" s="21"/>
    </row>
    <row r="58" spans="6:56" ht="15.95" customHeight="1">
      <c r="F58" s="303">
        <v>2</v>
      </c>
      <c r="G58" s="859"/>
      <c r="H58" s="860"/>
      <c r="I58" s="860"/>
      <c r="J58" s="860"/>
      <c r="K58" s="861"/>
      <c r="L58" s="402"/>
      <c r="M58" s="857"/>
      <c r="N58" s="857"/>
      <c r="O58" s="862"/>
      <c r="P58" s="863"/>
      <c r="Q58" s="858"/>
      <c r="R58" s="858"/>
      <c r="S58" s="858"/>
      <c r="T58" s="858"/>
      <c r="U58" s="858"/>
      <c r="V58" s="858"/>
      <c r="W58" s="401"/>
      <c r="X58" s="856"/>
      <c r="Y58" s="856"/>
      <c r="Z58" s="856"/>
      <c r="AA58" s="856"/>
      <c r="AB58" s="856"/>
      <c r="AC58" s="403" t="str">
        <f>IF(BC58&lt;&gt;"","",BA58/AF58)</f>
        <v/>
      </c>
      <c r="AD58" s="857"/>
      <c r="AE58" s="857"/>
      <c r="AF58" s="857"/>
      <c r="AG58" s="857"/>
      <c r="AH58" s="858"/>
      <c r="AI58" s="858"/>
      <c r="AJ58" s="858"/>
      <c r="AK58" s="858"/>
      <c r="AL58" s="858"/>
      <c r="AM58" s="858"/>
      <c r="AN58" s="308"/>
      <c r="AY58" s="336" t="str">
        <f>IF(BC58&lt;&gt;"","",(L58*M58))</f>
        <v/>
      </c>
      <c r="AZ58" s="336" t="str">
        <f>IF(BC58&lt;&gt;"","",(AC58*AD58))</f>
        <v/>
      </c>
      <c r="BA58" s="336" t="str">
        <f>IF(BC58&lt;&gt;"","",L58*O58)</f>
        <v/>
      </c>
      <c r="BB58" s="336" t="str">
        <f>IF(BC58&lt;&gt;"","",AC58*AF58)</f>
        <v/>
      </c>
      <c r="BC58" s="108" t="str">
        <f>IF(OR(ISBLANK(G58),ISBLANK(L58),ISBLANK(M58),ISBLANK(O58),ISBLANK(Q58),ISBLANK(T58),ISBLANK(X58),ISBLANK(AD58),ISBLANK(AD58),ISBLANK(AF58),ISBLANK(AH58),ISBLANK(AK58)),"Enter Info","")</f>
        <v>Enter Info</v>
      </c>
      <c r="BD58" s="21"/>
    </row>
    <row r="59" spans="6:56" ht="15.95" customHeight="1">
      <c r="F59" s="303">
        <v>3</v>
      </c>
      <c r="G59" s="859"/>
      <c r="H59" s="860"/>
      <c r="I59" s="860"/>
      <c r="J59" s="860"/>
      <c r="K59" s="861"/>
      <c r="L59" s="402"/>
      <c r="M59" s="857"/>
      <c r="N59" s="857"/>
      <c r="O59" s="862"/>
      <c r="P59" s="863"/>
      <c r="Q59" s="858"/>
      <c r="R59" s="858"/>
      <c r="S59" s="858"/>
      <c r="T59" s="858"/>
      <c r="U59" s="858"/>
      <c r="V59" s="858"/>
      <c r="W59" s="401"/>
      <c r="X59" s="856"/>
      <c r="Y59" s="856"/>
      <c r="Z59" s="856"/>
      <c r="AA59" s="856"/>
      <c r="AB59" s="856"/>
      <c r="AC59" s="403" t="str">
        <f>IF(BC59&lt;&gt;"","",BA59/AF59)</f>
        <v/>
      </c>
      <c r="AD59" s="857"/>
      <c r="AE59" s="857"/>
      <c r="AF59" s="857"/>
      <c r="AG59" s="857"/>
      <c r="AH59" s="858"/>
      <c r="AI59" s="858"/>
      <c r="AJ59" s="858"/>
      <c r="AK59" s="858"/>
      <c r="AL59" s="858"/>
      <c r="AM59" s="858"/>
      <c r="AN59" s="308"/>
      <c r="AY59" s="336" t="str">
        <f>IF(BC59&lt;&gt;"","",(L59*M59))</f>
        <v/>
      </c>
      <c r="AZ59" s="336" t="str">
        <f>IF(BC59&lt;&gt;"","",(AC59*AD59))</f>
        <v/>
      </c>
      <c r="BA59" s="336" t="str">
        <f>IF(BC59&lt;&gt;"","",L59*O59)</f>
        <v/>
      </c>
      <c r="BB59" s="336" t="str">
        <f>IF(BC59&lt;&gt;"","",AC59*AF59)</f>
        <v/>
      </c>
      <c r="BC59" s="108" t="str">
        <f>IF(OR(ISBLANK(G59),ISBLANK(L59),ISBLANK(M59),ISBLANK(O59),ISBLANK(Q59),ISBLANK(T59),ISBLANK(X59),ISBLANK(AD59),ISBLANK(AD59),ISBLANK(AF59),ISBLANK(AH59),ISBLANK(AK59)),"Enter Info","")</f>
        <v>Enter Info</v>
      </c>
      <c r="BD59" s="21"/>
    </row>
    <row r="60" spans="6:56" ht="15.95" customHeight="1">
      <c r="F60" s="303">
        <v>4</v>
      </c>
      <c r="G60" s="859"/>
      <c r="H60" s="860"/>
      <c r="I60" s="860"/>
      <c r="J60" s="860"/>
      <c r="K60" s="861"/>
      <c r="L60" s="402"/>
      <c r="M60" s="857"/>
      <c r="N60" s="857"/>
      <c r="O60" s="862"/>
      <c r="P60" s="863"/>
      <c r="Q60" s="858"/>
      <c r="R60" s="858"/>
      <c r="S60" s="858"/>
      <c r="T60" s="858"/>
      <c r="U60" s="858"/>
      <c r="V60" s="858"/>
      <c r="W60" s="401"/>
      <c r="X60" s="856"/>
      <c r="Y60" s="856"/>
      <c r="Z60" s="856"/>
      <c r="AA60" s="856"/>
      <c r="AB60" s="856"/>
      <c r="AC60" s="403" t="str">
        <f>IF(BC60&lt;&gt;"","",BA60/AF60)</f>
        <v/>
      </c>
      <c r="AD60" s="857"/>
      <c r="AE60" s="857"/>
      <c r="AF60" s="857"/>
      <c r="AG60" s="857"/>
      <c r="AH60" s="858"/>
      <c r="AI60" s="858"/>
      <c r="AJ60" s="858"/>
      <c r="AK60" s="858"/>
      <c r="AL60" s="858"/>
      <c r="AM60" s="858"/>
      <c r="AN60" s="308"/>
      <c r="AY60" s="336" t="str">
        <f>IF(BC60&lt;&gt;"","",(L60*M60))</f>
        <v/>
      </c>
      <c r="AZ60" s="336" t="str">
        <f>IF(BC60&lt;&gt;"","",(AC60*AD60))</f>
        <v/>
      </c>
      <c r="BA60" s="336" t="str">
        <f>IF(BC60&lt;&gt;"","",L60*O60)</f>
        <v/>
      </c>
      <c r="BB60" s="336" t="str">
        <f>IF(BC60&lt;&gt;"","",AC60*AF60)</f>
        <v/>
      </c>
      <c r="BC60" s="108" t="str">
        <f>IF(OR(ISBLANK(G60),ISBLANK(L60),ISBLANK(M60),ISBLANK(O60),ISBLANK(Q60),ISBLANK(T60),ISBLANK(X60),ISBLANK(AD60),ISBLANK(AD60),ISBLANK(AF60),ISBLANK(AH60),ISBLANK(AK60)),"Enter Info","")</f>
        <v>Enter Info</v>
      </c>
      <c r="BD60" s="21"/>
    </row>
    <row r="61" spans="6:56" ht="15.95" customHeight="1">
      <c r="F61" s="303">
        <v>5</v>
      </c>
      <c r="G61" s="859"/>
      <c r="H61" s="860"/>
      <c r="I61" s="860"/>
      <c r="J61" s="860"/>
      <c r="K61" s="861"/>
      <c r="L61" s="402"/>
      <c r="M61" s="857"/>
      <c r="N61" s="857"/>
      <c r="O61" s="862"/>
      <c r="P61" s="863"/>
      <c r="Q61" s="858"/>
      <c r="R61" s="858"/>
      <c r="S61" s="858"/>
      <c r="T61" s="858"/>
      <c r="U61" s="858"/>
      <c r="V61" s="858"/>
      <c r="W61" s="401"/>
      <c r="X61" s="856"/>
      <c r="Y61" s="856"/>
      <c r="Z61" s="856"/>
      <c r="AA61" s="856"/>
      <c r="AB61" s="856"/>
      <c r="AC61" s="403" t="str">
        <f>IF(BC61&lt;&gt;"","",BA61/AF61)</f>
        <v/>
      </c>
      <c r="AD61" s="857"/>
      <c r="AE61" s="857"/>
      <c r="AF61" s="857"/>
      <c r="AG61" s="857"/>
      <c r="AH61" s="858"/>
      <c r="AI61" s="858"/>
      <c r="AJ61" s="858"/>
      <c r="AK61" s="858"/>
      <c r="AL61" s="858"/>
      <c r="AM61" s="858"/>
      <c r="AN61" s="308"/>
      <c r="AY61" s="336" t="str">
        <f>IF(BC61&lt;&gt;"","",(L61*M61))</f>
        <v/>
      </c>
      <c r="AZ61" s="336" t="str">
        <f>IF(BC61&lt;&gt;"","",(AC61*AD61))</f>
        <v/>
      </c>
      <c r="BA61" s="336" t="str">
        <f>IF(BC61&lt;&gt;"","",L61*O61)</f>
        <v/>
      </c>
      <c r="BB61" s="336" t="str">
        <f>IF(BC61&lt;&gt;"","",AC61*AF61)</f>
        <v/>
      </c>
      <c r="BC61" s="108" t="str">
        <f>IF(OR(ISBLANK(G61),ISBLANK(L61),ISBLANK(M61),ISBLANK(O61),ISBLANK(Q61),ISBLANK(T61),ISBLANK(X61),ISBLANK(AD61),ISBLANK(AD61),ISBLANK(AF61),ISBLANK(AH61),ISBLANK(AK61)),"Enter Info","")</f>
        <v>Enter Info</v>
      </c>
      <c r="BD61" s="21"/>
    </row>
    <row r="62" spans="6:56" ht="15.95" customHeight="1">
      <c r="F62" s="303"/>
      <c r="G62" s="404"/>
      <c r="H62" s="404"/>
      <c r="I62" s="404"/>
      <c r="J62" s="404"/>
      <c r="K62" s="404"/>
      <c r="L62" s="404"/>
      <c r="M62" s="404"/>
      <c r="N62" s="404"/>
      <c r="O62" s="404"/>
      <c r="P62" s="404"/>
      <c r="Q62" s="855">
        <f>SUM(Q57:R61)</f>
        <v>0</v>
      </c>
      <c r="R62" s="855"/>
      <c r="S62" s="855"/>
      <c r="T62" s="855">
        <f>SUM(T57:U61)</f>
        <v>0</v>
      </c>
      <c r="U62" s="855"/>
      <c r="V62" s="855"/>
      <c r="W62" s="401"/>
      <c r="X62" s="405"/>
      <c r="Y62" s="405"/>
      <c r="Z62" s="405"/>
      <c r="AA62" s="405"/>
      <c r="AB62" s="405"/>
      <c r="AC62" s="405"/>
      <c r="AD62" s="405"/>
      <c r="AE62" s="405"/>
      <c r="AF62" s="405"/>
      <c r="AG62" s="405"/>
      <c r="AH62" s="855">
        <f>SUM(AH57:AI61)</f>
        <v>0</v>
      </c>
      <c r="AI62" s="855"/>
      <c r="AJ62" s="855"/>
      <c r="AK62" s="855">
        <f>SUM(AK57:AL61)</f>
        <v>0</v>
      </c>
      <c r="AL62" s="855"/>
      <c r="AM62" s="855"/>
      <c r="AN62" s="308"/>
      <c r="AY62" s="337">
        <f>SUM(AY57:AY61)</f>
        <v>0</v>
      </c>
      <c r="AZ62" s="337">
        <f>SUM(AZ57:AZ61)</f>
        <v>0</v>
      </c>
      <c r="BA62" s="337">
        <f>SUM(BA57:BA61)</f>
        <v>0</v>
      </c>
      <c r="BB62" s="337">
        <f>SUM(BB57:BB61)</f>
        <v>0</v>
      </c>
      <c r="BC62" s="21"/>
      <c r="BD62" s="21"/>
    </row>
    <row r="63" spans="6:56" ht="15.95" customHeight="1">
      <c r="F63" s="310"/>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c r="AL63" s="307"/>
      <c r="AM63" s="307"/>
      <c r="AN63" s="312"/>
      <c r="AY63" s="21"/>
      <c r="AZ63" s="21"/>
      <c r="BA63" s="21"/>
      <c r="BB63" s="21"/>
      <c r="BC63" s="21"/>
      <c r="BD63" s="21"/>
    </row>
    <row r="64" spans="6:56" ht="15.95"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rDKzS7xzWURFAz6h3oXyz9+AWM+ThlaHSuTdmsUghseBO+shg/GyV+Z3N/5r7jhEdQBS7AjV7mz99O6JSVUlgg==" saltValue="OrdxWCf9f+d1ry6bf9pRnQ==" spinCount="100000" sheet="1" objects="1" scenarios="1" selectLockedCells="1"/>
  <mergeCells count="318">
    <mergeCell ref="AD20:AE20"/>
    <mergeCell ref="AF20:AG20"/>
    <mergeCell ref="X21:AB21"/>
    <mergeCell ref="X22:AB22"/>
    <mergeCell ref="AD18:AE18"/>
    <mergeCell ref="AF18:AG18"/>
    <mergeCell ref="AK22:AM22"/>
    <mergeCell ref="AK23:AM23"/>
    <mergeCell ref="AH18:AJ18"/>
    <mergeCell ref="AH19:AJ19"/>
    <mergeCell ref="AH20:AJ20"/>
    <mergeCell ref="AH21:AJ21"/>
    <mergeCell ref="AH22:AJ22"/>
    <mergeCell ref="AH23:AJ23"/>
    <mergeCell ref="AK18:AM18"/>
    <mergeCell ref="AK19:AM19"/>
    <mergeCell ref="AK20:AM20"/>
    <mergeCell ref="AY16:AY17"/>
    <mergeCell ref="AZ16:AZ17"/>
    <mergeCell ref="BA16:BA17"/>
    <mergeCell ref="AY15:BD15"/>
    <mergeCell ref="AK17:AM17"/>
    <mergeCell ref="BC16:BC17"/>
    <mergeCell ref="BB16:BB17"/>
    <mergeCell ref="AH16:AM16"/>
    <mergeCell ref="AK21:AM21"/>
    <mergeCell ref="G18:K18"/>
    <mergeCell ref="G19:K19"/>
    <mergeCell ref="G20:K20"/>
    <mergeCell ref="G21:K21"/>
    <mergeCell ref="G22:K22"/>
    <mergeCell ref="G16:K17"/>
    <mergeCell ref="X18:AB18"/>
    <mergeCell ref="Q22:S22"/>
    <mergeCell ref="L16:L17"/>
    <mergeCell ref="M21:N21"/>
    <mergeCell ref="M22:N22"/>
    <mergeCell ref="O21:P21"/>
    <mergeCell ref="O22:P22"/>
    <mergeCell ref="Q21:S21"/>
    <mergeCell ref="Q17:S17"/>
    <mergeCell ref="T17:V17"/>
    <mergeCell ref="T18:V18"/>
    <mergeCell ref="T19:V19"/>
    <mergeCell ref="Q18:S18"/>
    <mergeCell ref="M18:N18"/>
    <mergeCell ref="O18:P18"/>
    <mergeCell ref="Q19:S19"/>
    <mergeCell ref="Q20:S20"/>
    <mergeCell ref="A8:E8"/>
    <mergeCell ref="AQ8:AU8"/>
    <mergeCell ref="M16:N17"/>
    <mergeCell ref="X15:AM15"/>
    <mergeCell ref="AD16:AE17"/>
    <mergeCell ref="AF16:AG17"/>
    <mergeCell ref="AC16:AC17"/>
    <mergeCell ref="AH17:AJ17"/>
    <mergeCell ref="G15:V15"/>
    <mergeCell ref="O16:P17"/>
    <mergeCell ref="Q16:V16"/>
    <mergeCell ref="X16:AB17"/>
    <mergeCell ref="AP1:AS3"/>
    <mergeCell ref="A5:E6"/>
    <mergeCell ref="AQ5:AU6"/>
    <mergeCell ref="A7:E7"/>
    <mergeCell ref="AQ7:AU7"/>
    <mergeCell ref="F1:I3"/>
    <mergeCell ref="J1:M3"/>
    <mergeCell ref="O1:AE3"/>
    <mergeCell ref="AL1:AO3"/>
    <mergeCell ref="AT1:AW3"/>
    <mergeCell ref="M200:AG201"/>
    <mergeCell ref="M19:N19"/>
    <mergeCell ref="M20:N20"/>
    <mergeCell ref="O19:P19"/>
    <mergeCell ref="O20:P20"/>
    <mergeCell ref="X20:AB20"/>
    <mergeCell ref="Q23:S23"/>
    <mergeCell ref="T20:V20"/>
    <mergeCell ref="T21:V21"/>
    <mergeCell ref="X19:AB19"/>
    <mergeCell ref="T22:V22"/>
    <mergeCell ref="T23:V23"/>
    <mergeCell ref="AD21:AE21"/>
    <mergeCell ref="AF21:AG21"/>
    <mergeCell ref="AD22:AE22"/>
    <mergeCell ref="AF22:AG22"/>
    <mergeCell ref="AD19:AE19"/>
    <mergeCell ref="AF19:AG19"/>
    <mergeCell ref="X31:AB31"/>
    <mergeCell ref="AD31:AE31"/>
    <mergeCell ref="AF31:AG31"/>
    <mergeCell ref="X33:AB33"/>
    <mergeCell ref="AD33:AE33"/>
    <mergeCell ref="AF33:AG33"/>
    <mergeCell ref="BB29:BB30"/>
    <mergeCell ref="BC29:BC30"/>
    <mergeCell ref="Q30:S30"/>
    <mergeCell ref="T30:V30"/>
    <mergeCell ref="AH30:AJ30"/>
    <mergeCell ref="AK30:AM30"/>
    <mergeCell ref="G28:V28"/>
    <mergeCell ref="X28:AM28"/>
    <mergeCell ref="AY28:BD28"/>
    <mergeCell ref="G29:K30"/>
    <mergeCell ref="L29:L30"/>
    <mergeCell ref="M29:N30"/>
    <mergeCell ref="O29:P30"/>
    <mergeCell ref="Q29:V29"/>
    <mergeCell ref="X29:AB30"/>
    <mergeCell ref="AC29:AC30"/>
    <mergeCell ref="AD29:AE30"/>
    <mergeCell ref="AF29:AG30"/>
    <mergeCell ref="AH29:AM29"/>
    <mergeCell ref="AY29:AY30"/>
    <mergeCell ref="AZ29:AZ30"/>
    <mergeCell ref="BA29:BA30"/>
    <mergeCell ref="AH31:AJ31"/>
    <mergeCell ref="AK31:AM31"/>
    <mergeCell ref="G31:K31"/>
    <mergeCell ref="M31:N31"/>
    <mergeCell ref="O31:P31"/>
    <mergeCell ref="Q31:S31"/>
    <mergeCell ref="T31:V31"/>
    <mergeCell ref="X32:AB32"/>
    <mergeCell ref="AD32:AE32"/>
    <mergeCell ref="AF32:AG32"/>
    <mergeCell ref="AH32:AJ32"/>
    <mergeCell ref="AK32:AM32"/>
    <mergeCell ref="G32:K32"/>
    <mergeCell ref="M32:N32"/>
    <mergeCell ref="O32:P32"/>
    <mergeCell ref="Q32:S32"/>
    <mergeCell ref="T32:V32"/>
    <mergeCell ref="AH33:AJ33"/>
    <mergeCell ref="AK33:AM33"/>
    <mergeCell ref="G33:K33"/>
    <mergeCell ref="M33:N33"/>
    <mergeCell ref="O33:P33"/>
    <mergeCell ref="Q33:S33"/>
    <mergeCell ref="T33:V33"/>
    <mergeCell ref="X34:AB34"/>
    <mergeCell ref="AD34:AE34"/>
    <mergeCell ref="AF34:AG34"/>
    <mergeCell ref="AH34:AJ34"/>
    <mergeCell ref="AK34:AM34"/>
    <mergeCell ref="G34:K34"/>
    <mergeCell ref="M34:N34"/>
    <mergeCell ref="O34:P34"/>
    <mergeCell ref="Q34:S34"/>
    <mergeCell ref="T34:V34"/>
    <mergeCell ref="Q36:S36"/>
    <mergeCell ref="T36:V36"/>
    <mergeCell ref="AH36:AJ36"/>
    <mergeCell ref="AK36:AM36"/>
    <mergeCell ref="G41:V41"/>
    <mergeCell ref="X41:AM41"/>
    <mergeCell ref="X35:AB35"/>
    <mergeCell ref="AD35:AE35"/>
    <mergeCell ref="AF35:AG35"/>
    <mergeCell ref="AH35:AJ35"/>
    <mergeCell ref="AK35:AM35"/>
    <mergeCell ref="G35:K35"/>
    <mergeCell ref="M35:N35"/>
    <mergeCell ref="O35:P35"/>
    <mergeCell ref="Q35:S35"/>
    <mergeCell ref="T35:V35"/>
    <mergeCell ref="AY41:BD41"/>
    <mergeCell ref="G42:K43"/>
    <mergeCell ref="L42:L43"/>
    <mergeCell ref="M42:N43"/>
    <mergeCell ref="O42:P43"/>
    <mergeCell ref="Q42:V42"/>
    <mergeCell ref="X42:AB43"/>
    <mergeCell ref="AC42:AC43"/>
    <mergeCell ref="AD42:AE43"/>
    <mergeCell ref="AF42:AG43"/>
    <mergeCell ref="AH42:AM42"/>
    <mergeCell ref="AY42:AY43"/>
    <mergeCell ref="AZ42:AZ43"/>
    <mergeCell ref="BA42:BA43"/>
    <mergeCell ref="BB42:BB43"/>
    <mergeCell ref="BC42:BC43"/>
    <mergeCell ref="Q43:S43"/>
    <mergeCell ref="T43:V43"/>
    <mergeCell ref="AH43:AJ43"/>
    <mergeCell ref="AK43:AM43"/>
    <mergeCell ref="AK44:AM44"/>
    <mergeCell ref="X45:AB45"/>
    <mergeCell ref="AD45:AE45"/>
    <mergeCell ref="AF45:AG45"/>
    <mergeCell ref="AH45:AJ45"/>
    <mergeCell ref="AK45:AM45"/>
    <mergeCell ref="G45:K45"/>
    <mergeCell ref="M45:N45"/>
    <mergeCell ref="O45:P45"/>
    <mergeCell ref="Q45:S45"/>
    <mergeCell ref="T45:V45"/>
    <mergeCell ref="G44:K44"/>
    <mergeCell ref="M44:N44"/>
    <mergeCell ref="O44:P44"/>
    <mergeCell ref="Q44:S44"/>
    <mergeCell ref="T44:V44"/>
    <mergeCell ref="X44:AB44"/>
    <mergeCell ref="AD44:AE44"/>
    <mergeCell ref="AF44:AG44"/>
    <mergeCell ref="AH44:AJ44"/>
    <mergeCell ref="X46:AB46"/>
    <mergeCell ref="AD46:AE46"/>
    <mergeCell ref="AF46:AG46"/>
    <mergeCell ref="AH46:AJ46"/>
    <mergeCell ref="AK46:AM46"/>
    <mergeCell ref="G46:K46"/>
    <mergeCell ref="M46:N46"/>
    <mergeCell ref="O46:P46"/>
    <mergeCell ref="Q46:S46"/>
    <mergeCell ref="T46:V46"/>
    <mergeCell ref="AH48:AJ48"/>
    <mergeCell ref="AK48:AM48"/>
    <mergeCell ref="G48:K48"/>
    <mergeCell ref="M48:N48"/>
    <mergeCell ref="O48:P48"/>
    <mergeCell ref="Q48:S48"/>
    <mergeCell ref="T48:V48"/>
    <mergeCell ref="X47:AB47"/>
    <mergeCell ref="AD47:AE47"/>
    <mergeCell ref="AF47:AG47"/>
    <mergeCell ref="AH47:AJ47"/>
    <mergeCell ref="AK47:AM47"/>
    <mergeCell ref="G47:K47"/>
    <mergeCell ref="M47:N47"/>
    <mergeCell ref="O47:P47"/>
    <mergeCell ref="Q47:S47"/>
    <mergeCell ref="T47:V47"/>
    <mergeCell ref="AF48:AG48"/>
    <mergeCell ref="AY54:BD54"/>
    <mergeCell ref="G55:K56"/>
    <mergeCell ref="L55:L56"/>
    <mergeCell ref="M55:N56"/>
    <mergeCell ref="O55:P56"/>
    <mergeCell ref="Q55:V55"/>
    <mergeCell ref="X55:AB56"/>
    <mergeCell ref="AC55:AC56"/>
    <mergeCell ref="AD55:AE56"/>
    <mergeCell ref="AF55:AG56"/>
    <mergeCell ref="AH55:AM55"/>
    <mergeCell ref="AY55:AY56"/>
    <mergeCell ref="AZ55:AZ56"/>
    <mergeCell ref="BA55:BA56"/>
    <mergeCell ref="BB55:BB56"/>
    <mergeCell ref="BC55:BC56"/>
    <mergeCell ref="Q56:S56"/>
    <mergeCell ref="T56:V56"/>
    <mergeCell ref="AH56:AJ56"/>
    <mergeCell ref="AK56:AM56"/>
    <mergeCell ref="G54:V54"/>
    <mergeCell ref="X54:AM54"/>
    <mergeCell ref="AK57:AM57"/>
    <mergeCell ref="X58:AB58"/>
    <mergeCell ref="AD58:AE58"/>
    <mergeCell ref="AF58:AG58"/>
    <mergeCell ref="AH58:AJ58"/>
    <mergeCell ref="AK58:AM58"/>
    <mergeCell ref="G58:K58"/>
    <mergeCell ref="M58:N58"/>
    <mergeCell ref="O58:P58"/>
    <mergeCell ref="Q58:S58"/>
    <mergeCell ref="T58:V58"/>
    <mergeCell ref="G57:K57"/>
    <mergeCell ref="M57:N57"/>
    <mergeCell ref="O57:P57"/>
    <mergeCell ref="Q57:S57"/>
    <mergeCell ref="T57:V57"/>
    <mergeCell ref="X57:AB57"/>
    <mergeCell ref="AD57:AE57"/>
    <mergeCell ref="AF57:AG57"/>
    <mergeCell ref="M60:N60"/>
    <mergeCell ref="O60:P60"/>
    <mergeCell ref="Q60:S60"/>
    <mergeCell ref="T60:V60"/>
    <mergeCell ref="G59:K59"/>
    <mergeCell ref="M59:N59"/>
    <mergeCell ref="O59:P59"/>
    <mergeCell ref="Q59:S59"/>
    <mergeCell ref="T59:V59"/>
    <mergeCell ref="G61:K61"/>
    <mergeCell ref="M61:N61"/>
    <mergeCell ref="O61:P61"/>
    <mergeCell ref="Q61:S61"/>
    <mergeCell ref="T61:V61"/>
    <mergeCell ref="X60:AB60"/>
    <mergeCell ref="AD60:AE60"/>
    <mergeCell ref="AF60:AG60"/>
    <mergeCell ref="A9:AW10"/>
    <mergeCell ref="AK60:AM60"/>
    <mergeCell ref="X59:AB59"/>
    <mergeCell ref="AD59:AE59"/>
    <mergeCell ref="AF59:AG59"/>
    <mergeCell ref="AH59:AJ59"/>
    <mergeCell ref="AK59:AM59"/>
    <mergeCell ref="AH57:AJ57"/>
    <mergeCell ref="Q49:S49"/>
    <mergeCell ref="T49:V49"/>
    <mergeCell ref="AH49:AJ49"/>
    <mergeCell ref="AK49:AM49"/>
    <mergeCell ref="X48:AB48"/>
    <mergeCell ref="AD48:AE48"/>
    <mergeCell ref="AH60:AJ60"/>
    <mergeCell ref="G60:K60"/>
    <mergeCell ref="Q62:S62"/>
    <mergeCell ref="T62:V62"/>
    <mergeCell ref="AH62:AJ62"/>
    <mergeCell ref="AK62:AM62"/>
    <mergeCell ref="X61:AB61"/>
    <mergeCell ref="AD61:AE61"/>
    <mergeCell ref="AF61:AG61"/>
    <mergeCell ref="AH61:AJ61"/>
    <mergeCell ref="AK61:AM61"/>
  </mergeCells>
  <conditionalFormatting sqref="AQ8:AW8">
    <cfRule type="expression" dxfId="132" priority="1598">
      <formula>IF($AQ$8=PROJSTATMEASURE,FALSE,TRUE)</formula>
    </cfRule>
  </conditionalFormatting>
  <dataValidations count="5">
    <dataValidation type="decimal" allowBlank="1" showInputMessage="1" showErrorMessage="1" sqref="M18:M22 AD18:AD22 AF18:AG22 O18:P22 M31:M35 AD31:AD35 AF31:AG35 O31:P35 M44:M48 AD44:AD48 AF44:AG48 O44:P48 M57:M61 AD57:AD61 AF57:AG61 O57:P61" xr:uid="{443486E0-26C1-43EB-BC35-52BC247E8BDF}">
      <formula1>1</formula1>
      <formula2>1000000</formula2>
    </dataValidation>
    <dataValidation type="whole" allowBlank="1" showInputMessage="1" showErrorMessage="1" sqref="L18:L22 L31:L35 L44:L48 L57:L61" xr:uid="{81478F71-3D5C-4F0B-8627-62F79C03BCA7}">
      <formula1>1</formula1>
      <formula2>9999</formula2>
    </dataValidation>
    <dataValidation type="decimal" allowBlank="1" showInputMessage="1" showErrorMessage="1" sqref="AH23 Q36 T23 AK23 AH36 Q49 T36 AK36 AH49 T62 T49 AK49 AH62 Q62 AK62 Q23" xr:uid="{C37E55EC-D6E3-4A8D-909F-6D6F738B8961}">
      <formula1>0</formula1>
      <formula2>999999999</formula2>
    </dataValidation>
    <dataValidation type="whole" allowBlank="1" showInputMessage="1" sqref="AC18:AC22 AC31:AC35 AC44:AC48 AC57:AC61" xr:uid="{C21FE1AE-EE03-4903-A359-AAAB5E19F4B0}">
      <formula1>1</formula1>
      <formula2>9999</formula2>
    </dataValidation>
    <dataValidation type="custom" allowBlank="1" showInputMessage="1" showErrorMessage="1" errorTitle="Invalid Entry" error="This must be a value greater than zero not containing fractions of a cent." sqref="AH57:AM61 Q57:V61 AH18:AM22 Q18:V22 Q31:V35 AH31:AM35 Q44:V48 AH44:AM48" xr:uid="{A5EB3FA7-B09C-45CD-B2D0-ACC45F9A957F}">
      <formula1>AND(Q18&gt;=0, MOD(Q18*1000,10)=0)</formula1>
    </dataValidation>
  </dataValidations>
  <hyperlinks>
    <hyperlink ref="B202" r:id="rId1" display="businessrebates@evergy.com" xr:uid="{C7DB4229-2277-4C38-8248-899FA294BC53}"/>
  </hyperlinks>
  <printOptions horizontalCentered="1"/>
  <pageMargins left="0" right="0" top="0" bottom="0" header="0" footer="0"/>
  <pageSetup scale="4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1468C-CCDA-4EEE-80EF-9D6D250F84E4}">
  <sheetPr codeName="Sheet92">
    <tabColor theme="9" tint="0.59999389629810485"/>
    <pageSetUpPr fitToPage="1"/>
  </sheetPr>
  <dimension ref="A1:BQ202"/>
  <sheetViews>
    <sheetView showGridLines="0" showRowColHeaders="0" zoomScale="85" zoomScaleNormal="85" workbookViewId="0"/>
  </sheetViews>
  <sheetFormatPr defaultColWidth="0" defaultRowHeight="15.95" customHeight="1" zeroHeight="1"/>
  <cols>
    <col min="1" max="49" width="4.7109375" customWidth="1"/>
    <col min="50" max="50" width="4.7109375" hidden="1" customWidth="1"/>
    <col min="51" max="53" width="8.85546875" hidden="1" customWidth="1"/>
    <col min="54" max="55" width="9.28515625" style="220" hidden="1" customWidth="1"/>
    <col min="56" max="59" width="8.85546875" hidden="1" customWidth="1"/>
    <col min="60" max="60" width="10.7109375" hidden="1" customWidth="1"/>
    <col min="61" max="61" width="11" hidden="1" customWidth="1"/>
    <col min="62" max="76" width="8.85546875" hidden="1" customWidth="1"/>
    <col min="77" max="16384" width="8.85546875" hidden="1"/>
  </cols>
  <sheetData>
    <row r="1" spans="1:6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c r="BB1"/>
      <c r="BC1"/>
    </row>
    <row r="2" spans="1:6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c r="BB2"/>
      <c r="BC2"/>
    </row>
    <row r="3" spans="1:6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c r="BB3"/>
      <c r="BC3"/>
    </row>
    <row r="4" spans="1:69" ht="15.95" customHeight="1">
      <c r="B4" s="199"/>
      <c r="C4" s="199"/>
      <c r="D4" s="199"/>
      <c r="E4" s="199"/>
      <c r="BB4"/>
      <c r="BC4"/>
    </row>
    <row r="5" spans="1:69" ht="15.95" customHeight="1">
      <c r="A5" s="667">
        <f>INCENTOTAL_N</f>
        <v>0</v>
      </c>
      <c r="B5" s="667"/>
      <c r="C5" s="667"/>
      <c r="D5" s="667"/>
      <c r="E5" s="667"/>
      <c r="AQ5" s="668">
        <f ca="1">PROGRESSSTATUS_N</f>
        <v>0</v>
      </c>
      <c r="AR5" s="668"/>
      <c r="AS5" s="668"/>
      <c r="AT5" s="668"/>
      <c r="AU5" s="668"/>
      <c r="AV5" s="557"/>
      <c r="AW5" s="557"/>
      <c r="AY5" s="21"/>
      <c r="AZ5" s="110" t="s">
        <v>844</v>
      </c>
      <c r="BA5" s="110" t="s">
        <v>198</v>
      </c>
      <c r="BB5"/>
      <c r="BC5"/>
    </row>
    <row r="6" spans="1:69" ht="15.95" customHeight="1">
      <c r="A6" s="667"/>
      <c r="B6" s="667"/>
      <c r="C6" s="667"/>
      <c r="D6" s="667"/>
      <c r="E6" s="667"/>
      <c r="AQ6" s="668"/>
      <c r="AR6" s="668"/>
      <c r="AS6" s="668"/>
      <c r="AT6" s="668"/>
      <c r="AU6" s="668"/>
      <c r="AV6" s="557"/>
      <c r="AW6" s="557"/>
      <c r="AY6" s="109" t="s">
        <v>26</v>
      </c>
      <c r="AZ6" s="108" t="str">
        <f>CBLIGHT_N</f>
        <v>NA</v>
      </c>
      <c r="BA6" s="176" t="str">
        <f>PAYLIGHT_N</f>
        <v>NA</v>
      </c>
      <c r="BB6"/>
      <c r="BC6"/>
    </row>
    <row r="7" spans="1:69" ht="15.95" customHeight="1">
      <c r="A7" s="665" t="s">
        <v>20</v>
      </c>
      <c r="B7" s="665"/>
      <c r="C7" s="665"/>
      <c r="D7" s="665"/>
      <c r="E7" s="665"/>
      <c r="AQ7" s="665" t="s">
        <v>179</v>
      </c>
      <c r="AR7" s="665"/>
      <c r="AS7" s="665"/>
      <c r="AT7" s="665"/>
      <c r="AU7" s="665"/>
      <c r="AV7" s="556"/>
      <c r="AW7" s="556"/>
      <c r="AY7" s="109" t="s">
        <v>50</v>
      </c>
      <c r="AZ7" s="108" t="str">
        <f>CBCUST_N</f>
        <v>NA</v>
      </c>
      <c r="BA7" s="176" t="str">
        <f>PAYCUST_N</f>
        <v>NA</v>
      </c>
      <c r="BB7"/>
      <c r="BC7"/>
    </row>
    <row r="8" spans="1:69" ht="15.95" customHeight="1" thickBot="1">
      <c r="A8" s="665"/>
      <c r="B8" s="665"/>
      <c r="C8" s="665"/>
      <c r="D8" s="665"/>
      <c r="E8" s="665"/>
      <c r="AQ8" s="674" t="str">
        <f ca="1">PROJSTATUS_N</f>
        <v>Enter Measures</v>
      </c>
      <c r="AR8" s="674"/>
      <c r="AS8" s="674"/>
      <c r="AT8" s="674"/>
      <c r="AU8" s="674"/>
      <c r="AV8" s="558"/>
      <c r="AW8" s="558"/>
      <c r="AY8" s="109" t="s">
        <v>273</v>
      </c>
      <c r="AZ8" s="108" t="str">
        <f>CBPROJ_N</f>
        <v>NA</v>
      </c>
      <c r="BA8" s="176" t="str">
        <f>PAYPROJ_N</f>
        <v>NA</v>
      </c>
      <c r="BB8"/>
      <c r="BC8"/>
    </row>
    <row r="9" spans="1:69" ht="15.95" customHeight="1">
      <c r="A9" s="636" t="str">
        <f>N3S2&amp;": Step 2 - Measure Input"</f>
        <v>Interior Lighting: Step 2 - Measure Input</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c r="AY9" s="107" t="s">
        <v>828</v>
      </c>
      <c r="AZ9" s="399" t="str">
        <f ca="1">NEWCONCODE</f>
        <v>IECC 2012</v>
      </c>
      <c r="BB9"/>
      <c r="BC9"/>
    </row>
    <row r="10" spans="1:69"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c r="BB10"/>
      <c r="BC10"/>
    </row>
    <row r="11" spans="1:69" ht="15.95" customHeight="1">
      <c r="BB11"/>
      <c r="BC11"/>
    </row>
    <row r="12" spans="1:69" ht="15.95" customHeight="1">
      <c r="R12" s="789">
        <f>SUM(AN18:AQ184)</f>
        <v>0</v>
      </c>
      <c r="S12" s="789"/>
      <c r="T12" s="789"/>
      <c r="U12" s="789"/>
      <c r="V12" s="789">
        <f ca="1">SUMIF(AN18:AQ184,"&gt;0",AH18:AJ184)</f>
        <v>0</v>
      </c>
      <c r="W12" s="789"/>
      <c r="X12" s="789"/>
      <c r="Y12" s="789"/>
      <c r="Z12" s="790">
        <f ca="1">SUMIF(AN18:AQ184,"&gt;0",AK18:AM184)</f>
        <v>0</v>
      </c>
      <c r="AA12" s="790"/>
      <c r="AB12" s="790"/>
      <c r="AC12" s="790"/>
      <c r="BB12"/>
      <c r="BC12"/>
    </row>
    <row r="13" spans="1:69" ht="15.95" customHeight="1">
      <c r="R13" s="789"/>
      <c r="S13" s="789"/>
      <c r="T13" s="789"/>
      <c r="U13" s="789"/>
      <c r="V13" s="789"/>
      <c r="W13" s="789"/>
      <c r="X13" s="789"/>
      <c r="Y13" s="789"/>
      <c r="Z13" s="790"/>
      <c r="AA13" s="790"/>
      <c r="AB13" s="790"/>
      <c r="AC13" s="790"/>
      <c r="AI13" s="786" t="str">
        <f>IF(IFERROR(MATCH("Cost Cap at 50%", BN:BN, 0), FALSE), "The incentive for one or more measures is capped due to measure cost.", "")</f>
        <v/>
      </c>
      <c r="AJ13" s="786"/>
      <c r="AK13" s="786"/>
      <c r="AL13" s="786"/>
      <c r="AM13" s="786"/>
      <c r="AN13" s="786"/>
      <c r="AO13" s="786"/>
      <c r="AP13" s="786"/>
      <c r="AQ13" s="786"/>
      <c r="BB13"/>
      <c r="BC13"/>
    </row>
    <row r="14" spans="1:69" ht="15.95" customHeight="1">
      <c r="R14" s="793" t="s">
        <v>1204</v>
      </c>
      <c r="S14" s="793"/>
      <c r="T14" s="793"/>
      <c r="U14" s="793"/>
      <c r="V14" s="793" t="s">
        <v>4</v>
      </c>
      <c r="W14" s="793"/>
      <c r="X14" s="793"/>
      <c r="Y14" s="793"/>
      <c r="Z14" s="793" t="s">
        <v>776</v>
      </c>
      <c r="AA14" s="793"/>
      <c r="AB14" s="793"/>
      <c r="AC14" s="793"/>
      <c r="AI14" s="786"/>
      <c r="AJ14" s="786"/>
      <c r="AK14" s="786"/>
      <c r="AL14" s="786"/>
      <c r="AM14" s="786"/>
      <c r="AN14" s="786"/>
      <c r="AO14" s="786"/>
      <c r="AP14" s="786"/>
      <c r="AQ14" s="786"/>
      <c r="BB14"/>
      <c r="BC14"/>
    </row>
    <row r="15" spans="1:69" ht="15.95" customHeight="1">
      <c r="BB15"/>
      <c r="BC15"/>
    </row>
    <row r="16" spans="1:69" ht="15.95" customHeight="1">
      <c r="C16" s="794" t="s">
        <v>827</v>
      </c>
      <c r="D16" s="794"/>
      <c r="E16" s="794"/>
      <c r="F16" s="794"/>
      <c r="G16" s="794" t="s">
        <v>1920</v>
      </c>
      <c r="H16" s="794"/>
      <c r="I16" s="794"/>
      <c r="J16" s="794"/>
      <c r="K16" s="794" t="s">
        <v>1667</v>
      </c>
      <c r="L16" s="794"/>
      <c r="M16" s="794"/>
      <c r="N16" s="794"/>
      <c r="O16" s="794" t="s">
        <v>829</v>
      </c>
      <c r="P16" s="794"/>
      <c r="Q16" s="794" t="s">
        <v>828</v>
      </c>
      <c r="R16" s="794"/>
      <c r="S16" s="794"/>
      <c r="T16" s="794"/>
      <c r="U16" s="794"/>
      <c r="V16" s="794" t="s">
        <v>831</v>
      </c>
      <c r="W16" s="794"/>
      <c r="X16" s="794"/>
      <c r="Y16" s="794"/>
      <c r="Z16" s="794"/>
      <c r="AA16" s="794" t="s">
        <v>1660</v>
      </c>
      <c r="AB16" s="794"/>
      <c r="AC16" s="794"/>
      <c r="AD16" s="794" t="s">
        <v>1525</v>
      </c>
      <c r="AE16" s="794"/>
      <c r="AF16" s="794" t="s">
        <v>1526</v>
      </c>
      <c r="AG16" s="794"/>
      <c r="AH16" s="794" t="s">
        <v>832</v>
      </c>
      <c r="AI16" s="794"/>
      <c r="AJ16" s="794"/>
      <c r="AK16" s="794" t="s">
        <v>725</v>
      </c>
      <c r="AL16" s="794"/>
      <c r="AM16" s="794"/>
      <c r="AN16" s="794" t="s">
        <v>20</v>
      </c>
      <c r="AO16" s="794"/>
      <c r="AP16" s="794"/>
      <c r="AQ16" s="794"/>
      <c r="AY16" s="791" t="s">
        <v>48</v>
      </c>
      <c r="AZ16" s="791" t="s">
        <v>198</v>
      </c>
      <c r="BA16" s="796" t="s">
        <v>733</v>
      </c>
      <c r="BB16" s="796" t="s">
        <v>300</v>
      </c>
      <c r="BC16" s="796" t="s">
        <v>822</v>
      </c>
      <c r="BD16" s="796" t="s">
        <v>25</v>
      </c>
      <c r="BE16" s="791" t="s">
        <v>836</v>
      </c>
      <c r="BF16" s="791" t="s">
        <v>838</v>
      </c>
      <c r="BG16" s="796"/>
      <c r="BH16" s="798" t="s">
        <v>1669</v>
      </c>
      <c r="BI16" s="796" t="s">
        <v>320</v>
      </c>
      <c r="BJ16" s="791" t="s">
        <v>1675</v>
      </c>
      <c r="BK16" s="791" t="s">
        <v>1677</v>
      </c>
      <c r="BL16" s="796" t="s">
        <v>1240</v>
      </c>
      <c r="BM16" s="791" t="s">
        <v>22</v>
      </c>
      <c r="BN16" s="798" t="s">
        <v>837</v>
      </c>
      <c r="BO16" s="791" t="s">
        <v>185</v>
      </c>
      <c r="BP16" s="791" t="s">
        <v>1324</v>
      </c>
      <c r="BQ16" s="791" t="s">
        <v>1903</v>
      </c>
    </row>
    <row r="17" spans="2:69" ht="15.95" customHeight="1" thickBot="1">
      <c r="C17" s="795"/>
      <c r="D17" s="795"/>
      <c r="E17" s="795"/>
      <c r="F17" s="795"/>
      <c r="G17" s="795"/>
      <c r="H17" s="795"/>
      <c r="I17" s="795"/>
      <c r="J17" s="795"/>
      <c r="K17" s="795"/>
      <c r="L17" s="795"/>
      <c r="M17" s="795"/>
      <c r="N17" s="795"/>
      <c r="O17" s="795"/>
      <c r="P17" s="795"/>
      <c r="Q17" s="795" t="s">
        <v>833</v>
      </c>
      <c r="R17" s="795"/>
      <c r="S17" s="795" t="s">
        <v>834</v>
      </c>
      <c r="T17" s="795"/>
      <c r="U17" s="795"/>
      <c r="V17" s="795" t="s">
        <v>833</v>
      </c>
      <c r="W17" s="795"/>
      <c r="X17" s="795" t="s">
        <v>834</v>
      </c>
      <c r="Y17" s="795"/>
      <c r="Z17" s="795"/>
      <c r="AA17" s="795"/>
      <c r="AB17" s="795"/>
      <c r="AC17" s="795"/>
      <c r="AD17" s="795"/>
      <c r="AE17" s="795"/>
      <c r="AF17" s="795"/>
      <c r="AG17" s="795"/>
      <c r="AH17" s="795"/>
      <c r="AI17" s="795"/>
      <c r="AJ17" s="795"/>
      <c r="AK17" s="795"/>
      <c r="AL17" s="795"/>
      <c r="AM17" s="795"/>
      <c r="AN17" s="795"/>
      <c r="AO17" s="795"/>
      <c r="AP17" s="795"/>
      <c r="AQ17" s="795"/>
      <c r="AY17" s="792"/>
      <c r="AZ17" s="792"/>
      <c r="BA17" s="797"/>
      <c r="BB17" s="797"/>
      <c r="BC17" s="797"/>
      <c r="BD17" s="797"/>
      <c r="BE17" s="792"/>
      <c r="BF17" s="792"/>
      <c r="BG17" s="797"/>
      <c r="BH17" s="799"/>
      <c r="BI17" s="797"/>
      <c r="BJ17" s="792"/>
      <c r="BK17" s="792"/>
      <c r="BL17" s="797"/>
      <c r="BM17" s="792"/>
      <c r="BN17" s="799"/>
      <c r="BO17" s="792"/>
      <c r="BP17" s="792"/>
      <c r="BQ17" s="792"/>
    </row>
    <row r="18" spans="2:69" ht="15.95" customHeight="1">
      <c r="B18" s="800">
        <v>1</v>
      </c>
      <c r="C18" s="891" t="str">
        <f>IF(OR(ISBLANK(X18),X18=""),"","Grow Facility")</f>
        <v/>
      </c>
      <c r="D18" s="892"/>
      <c r="E18" s="892"/>
      <c r="F18" s="803"/>
      <c r="G18" s="888"/>
      <c r="H18" s="889"/>
      <c r="I18" s="889"/>
      <c r="J18" s="890"/>
      <c r="K18" s="912"/>
      <c r="L18" s="912"/>
      <c r="M18" s="912"/>
      <c r="N18" s="912"/>
      <c r="O18" s="911"/>
      <c r="P18" s="911"/>
      <c r="Q18" s="905" t="str">
        <f>IF(OR(K18="",S18=""),"",S18/K18)</f>
        <v/>
      </c>
      <c r="R18" s="905"/>
      <c r="S18" s="907" t="str">
        <f>IF(OR(K18="",C18=""),"",GROWBASEWATT)</f>
        <v/>
      </c>
      <c r="T18" s="907"/>
      <c r="U18" s="907"/>
      <c r="V18" s="905" t="str">
        <f>IF(OR(K18="",C18="",X18=""),"",ROUND(X18/K18,2))</f>
        <v/>
      </c>
      <c r="W18" s="905"/>
      <c r="X18" s="899" t="str">
        <f>IF(OR(GROWEFFWATT="",GROWEFFWATT=0),"",GROWEFFWATT)</f>
        <v/>
      </c>
      <c r="Y18" s="900"/>
      <c r="Z18" s="901"/>
      <c r="AA18" s="907" t="str">
        <f>IF(OR(GROWEFFPPF=0,GROWEFFPPF=""),"",GROWEFFPPF)</f>
        <v/>
      </c>
      <c r="AB18" s="907"/>
      <c r="AC18" s="907"/>
      <c r="AD18" s="909" t="str">
        <f>IF(GROWBASEMATERIAL+GROWBASELABOR=0,"",GROWBASEMATERIAL+GROWBASELABOR)</f>
        <v/>
      </c>
      <c r="AE18" s="909"/>
      <c r="AF18" s="913" t="str">
        <f>IF(GROWEFFMATERIAL+GROWEFFLABOR=0,"",GROWEFFMATERIAL+GROWEFFLABOR)</f>
        <v/>
      </c>
      <c r="AG18" s="914"/>
      <c r="AH18" s="895" t="str">
        <f>IF(OR(K18="",C18="",G18="",Q18="",S18="",O18="",V18="",X18="",AA18="",AD18="",AF18=""),"",ROUND(AF18-AD18,2))</f>
        <v/>
      </c>
      <c r="AI18" s="896"/>
      <c r="AJ18" s="896"/>
      <c r="AK18" s="917" t="str">
        <f>IF(OR(K18="",C18="",G18="",Q18="",S18="",O18="",V18="",X18="",AA18="",AD18="",AF18=""),"",IF(BB18-BC18&lt;=0,0,ROUND(BB18-BC18,0)))</f>
        <v/>
      </c>
      <c r="AL18" s="917"/>
      <c r="AM18" s="917"/>
      <c r="AN18" s="919" t="str">
        <f>IF(OR(G18="",K18="",C18="",Q18="",S18="",O18="",V18="",X18="",AA18="",AD18="",AF18=""),"",
IF(BO18&lt;&gt;"",BO18,
IF(BQ18&gt;0,BQ18,
IF(ACTIVEBLOCK_N="Yes",ROUND(MIN(AF18*NCLIGHTINGCAP,AK18*BLOCKBIDRATE),2),
IF(BL18&lt;&gt;"",ROUND(MIN(AF18*NCLIGHTINGCAP,BL18),2),
ROUND(MIN(AF18*NCLIGHTINGCAP,BH18),2))))))</f>
        <v/>
      </c>
      <c r="AO18" s="919"/>
      <c r="AP18" s="919"/>
      <c r="AQ18" s="919"/>
      <c r="AY18" s="835" t="str">
        <f>IFERROR(IF(OR(K18="",C18="",G18="",Q18="",S18="",O18="",V18="",X18="",AA18="",AD18="",AF18=""),"",ROUND(BP18/AH18,2)),0)</f>
        <v/>
      </c>
      <c r="AZ18" s="835" t="str">
        <f>IFERROR(AH18/N02S03F14/AK18,"")</f>
        <v/>
      </c>
      <c r="BA18" s="815" t="s">
        <v>939</v>
      </c>
      <c r="BB18" s="837" t="str">
        <f>IF(OR(K18="",C18="",G18="",Q18="",S18="",O18="",V18="",X18="",AA18="",AD18="",AF18=""),"",S18*O18/1000)</f>
        <v/>
      </c>
      <c r="BC18" s="837" t="str">
        <f>IF(OR(K18="",C18="",G18="",Q18="",S18="",O18="",V18="",X18="",AA18="",AD18="",AF18=""),"",X18*O18/1000)</f>
        <v/>
      </c>
      <c r="BD18" s="843">
        <v>10</v>
      </c>
      <c r="BE18" s="845" t="s">
        <v>741</v>
      </c>
      <c r="BF18" s="874" t="str">
        <f>IFERROR(IF(OR(K18="",C18="",G18="",Q18="",S18="",O18="",V18="",X18="",AA18="",AD18="",AF18=""),"",ROUND(AK18*INDEX(ENDUSEALL[Factor],MATCH(BE18,ENDUSEALL[End Use to Coincident Peak Demand Factors],0)),4)),"")</f>
        <v/>
      </c>
      <c r="BG18" s="829"/>
      <c r="BH18" s="787" t="str">
        <f>IFERROR(ROUND((S18-X18)*NCLIGHTINGRATE,2),"")</f>
        <v/>
      </c>
      <c r="BI18" s="839" t="str">
        <f>IFERROR(BH18/AK18,"")</f>
        <v/>
      </c>
      <c r="BJ18" s="841" t="str">
        <f>IFERROR(1-(V18/Q18),"")</f>
        <v/>
      </c>
      <c r="BK18" s="787">
        <f>IFERROR((GROWEFFMATERIAL+GROWEFFLABOR)-(GROWBASEMATERIAL+GROWBASELABOR),"")</f>
        <v>0</v>
      </c>
      <c r="BL18" s="829"/>
      <c r="BM18" s="815" t="str">
        <f>IFERROR(IF(OR(G18="",K18="",C18="",Q18="",S18="",O18="",V18="",X18="",AA18="",AD18="",AF18=""),"",IF(BO18&lt;&gt;"",SPILLOVERNUMBER,IF(ISNUMBER(SEARCH("Exterior",C18)),EXTLPDNUMBER,INTLPDNUMBER))),"")</f>
        <v/>
      </c>
      <c r="BN18" s="815" t="str">
        <f>IFERROR(IF(ROUND(AN18/AF18,2)=0.5,"Cost Cap at 50%",
IF(BL18&lt;&gt;"","Bonus Incentive",
"NC Incentive")),"")</f>
        <v/>
      </c>
      <c r="BO18" s="815" t="str">
        <f ca="1">IFERROR(IF(EXPIRATION&lt;&gt;"",PROJSTATEXP,
IF(OR(N02S03F17="",N02S03F19=""),MEASURESITE,
IF(OR(N02S03F14="",N02S03F14="Select Rate Code",N02S03F14=0),MEASURERATE,
IF(S18=0,MEASURESTEP1,
IF((BB18-BC18)&lt;=0,MEASURESAVE,
IF(BJ18&lt;=0.1,MEASURELPD,
IF(AH18&lt;=0,MEASUREINCR,""))))))),MEASURESUBMIT)</f>
        <v>Enter Site City &amp; Zip (Building Tab)</v>
      </c>
      <c r="BP18" s="787" t="str">
        <f>IFERROR(IF(OR(K18="",C18="",G18="",Q18="",S18="",O18="",V18="",X18="",AA18="",AD18="",AF18=""),"",ROUND(((1+ELOSS)*((AK18*INDEX(ELECCB[NPV AEC $/kWh],MATCH(BD18,ELECCB[Year Number],1)))+(BF18*INDEX(ELECCB[NPV ACC $/kW],MATCH(BD18,ELECCB[Year Number],1))))),2)),0)</f>
        <v/>
      </c>
      <c r="BQ18" s="853"/>
    </row>
    <row r="19" spans="2:69" ht="15.95" customHeight="1">
      <c r="B19" s="800"/>
      <c r="C19" s="882"/>
      <c r="D19" s="883"/>
      <c r="E19" s="883"/>
      <c r="F19" s="805"/>
      <c r="G19" s="888"/>
      <c r="H19" s="889"/>
      <c r="I19" s="889"/>
      <c r="J19" s="890"/>
      <c r="K19" s="893"/>
      <c r="L19" s="893"/>
      <c r="M19" s="893"/>
      <c r="N19" s="893"/>
      <c r="O19" s="894"/>
      <c r="P19" s="894"/>
      <c r="Q19" s="906"/>
      <c r="R19" s="906"/>
      <c r="S19" s="908"/>
      <c r="T19" s="908"/>
      <c r="U19" s="908"/>
      <c r="V19" s="906"/>
      <c r="W19" s="906"/>
      <c r="X19" s="902"/>
      <c r="Y19" s="903"/>
      <c r="Z19" s="904"/>
      <c r="AA19" s="908"/>
      <c r="AB19" s="908"/>
      <c r="AC19" s="908"/>
      <c r="AD19" s="910"/>
      <c r="AE19" s="910"/>
      <c r="AF19" s="915"/>
      <c r="AG19" s="916"/>
      <c r="AH19" s="897"/>
      <c r="AI19" s="898"/>
      <c r="AJ19" s="898"/>
      <c r="AK19" s="918"/>
      <c r="AL19" s="918"/>
      <c r="AM19" s="918"/>
      <c r="AN19" s="920"/>
      <c r="AO19" s="920"/>
      <c r="AP19" s="920"/>
      <c r="AQ19" s="920"/>
      <c r="AY19" s="836"/>
      <c r="AZ19" s="836"/>
      <c r="BA19" s="816"/>
      <c r="BB19" s="838"/>
      <c r="BC19" s="838"/>
      <c r="BD19" s="844"/>
      <c r="BE19" s="846"/>
      <c r="BF19" s="875"/>
      <c r="BG19" s="830"/>
      <c r="BH19" s="788"/>
      <c r="BI19" s="840"/>
      <c r="BJ19" s="842"/>
      <c r="BK19" s="788"/>
      <c r="BL19" s="830"/>
      <c r="BM19" s="816"/>
      <c r="BN19" s="816"/>
      <c r="BO19" s="816"/>
      <c r="BP19" s="788"/>
      <c r="BQ19" s="854"/>
    </row>
    <row r="20" spans="2:69" ht="15.95" customHeight="1">
      <c r="B20" s="800">
        <v>2</v>
      </c>
      <c r="C20" s="882" t="str">
        <f t="shared" ref="C20" si="0">IF(OR(ISBLANK(X20),X20=""),"","Grow Facility")</f>
        <v/>
      </c>
      <c r="D20" s="883"/>
      <c r="E20" s="883"/>
      <c r="F20" s="805"/>
      <c r="G20" s="884"/>
      <c r="H20" s="885"/>
      <c r="I20" s="885"/>
      <c r="J20" s="886"/>
      <c r="K20" s="887"/>
      <c r="L20" s="887"/>
      <c r="M20" s="887"/>
      <c r="N20" s="887"/>
      <c r="O20" s="814"/>
      <c r="P20" s="814"/>
      <c r="Q20" s="810" t="str">
        <f t="shared" ref="Q20" si="1">IF(OR(K20="",S20=""),"",S20/K20)</f>
        <v/>
      </c>
      <c r="R20" s="810"/>
      <c r="S20" s="811" t="str">
        <f>IF(OR(K20="",C20=""),"",GROWBASEWATT2)</f>
        <v/>
      </c>
      <c r="T20" s="811"/>
      <c r="U20" s="811"/>
      <c r="V20" s="810" t="str">
        <f t="shared" ref="V20" si="2">IF(OR(K20="",C20="",X20=""),"",ROUND(X20/K20,2))</f>
        <v/>
      </c>
      <c r="W20" s="810"/>
      <c r="X20" s="812" t="str">
        <f>IF(OR(GROWEFFWATT2="",GROWEFFWATT2=0),"",GROWEFFWATT2)</f>
        <v/>
      </c>
      <c r="Y20" s="876"/>
      <c r="Z20" s="877"/>
      <c r="AA20" s="811" t="str">
        <f>IF(OR(GROWEFFPPF2=0,GROWEFFPPF2=""),"",GROWEFFPPF2)</f>
        <v/>
      </c>
      <c r="AB20" s="811"/>
      <c r="AC20" s="811"/>
      <c r="AD20" s="878" t="str">
        <f>IF(GROWBASEMATERIAL2+GROWBASELABOR2=0,"",GROWBASEMATERIAL2+GROWBASELABOR2)</f>
        <v/>
      </c>
      <c r="AE20" s="878"/>
      <c r="AF20" s="879" t="str">
        <f>IF(GROWEFFMATERIAL2+GROWEFFLABOR2=0,"",GROWEFFMATERIAL2+GROWEFFLABOR2)</f>
        <v/>
      </c>
      <c r="AG20" s="880"/>
      <c r="AH20" s="881" t="str">
        <f t="shared" ref="AH20" si="3">IF(OR(K20="",C20="",G20="",Q20="",S20="",O20="",V20="",X20="",AA20="",AD20="",AF20=""),"",ROUND(AF20-AD20,2))</f>
        <v/>
      </c>
      <c r="AI20" s="826"/>
      <c r="AJ20" s="826"/>
      <c r="AK20" s="832" t="str">
        <f t="shared" ref="AK20" si="4">IF(OR(K20="",C20="",G20="",Q20="",S20="",O20="",V20="",X20="",AA20="",AD20="",AF20=""),"",IF(BB20-BC20&lt;=0,0,ROUND(BB20-BC20,0)))</f>
        <v/>
      </c>
      <c r="AL20" s="832"/>
      <c r="AM20" s="832"/>
      <c r="AN20" s="834" t="str">
        <f>IF(OR(G20="",K20="",C20="",Q20="",S20="",O20="",V20="",X20="",AA20="",AD20="",AF20=""),"",
IF(BO20&lt;&gt;"",BO20,
IF(BQ20&gt;0,BQ20,
IF(ACTIVEBLOCK_N="Yes",ROUND(MIN(AF20*NCLIGHTINGCAP,AK20*BLOCKBIDRATE),2),
IF(BL20&lt;&gt;"",ROUND(MIN(AF20*NCLIGHTINGCAP,BL20),2),
ROUND(MIN(AF20*NCLIGHTINGCAP,BH20),2))))))</f>
        <v/>
      </c>
      <c r="AO20" s="834"/>
      <c r="AP20" s="834"/>
      <c r="AQ20" s="834"/>
      <c r="AY20" s="835" t="str">
        <f t="shared" ref="AY20" si="5">IFERROR(IF(OR(K20="",C20="",G20="",Q20="",S20="",O20="",V20="",X20="",AA20="",AD20="",AF20=""),"",ROUND(BP20/AH20,2)),0)</f>
        <v/>
      </c>
      <c r="AZ20" s="835" t="str">
        <f>IFERROR(AH20/N02S03F14/AK20,"")</f>
        <v/>
      </c>
      <c r="BA20" s="815" t="s">
        <v>939</v>
      </c>
      <c r="BB20" s="837" t="str">
        <f t="shared" ref="BB20" si="6">IF(OR(K20="",C20="",G20="",Q20="",S20="",O20="",V20="",X20="",AA20="",AD20="",AF20=""),"",S20*O20/1000)</f>
        <v/>
      </c>
      <c r="BC20" s="837" t="str">
        <f t="shared" ref="BC20" si="7">IF(OR(K20="",C20="",G20="",Q20="",S20="",O20="",V20="",X20="",AA20="",AD20="",AF20=""),"",X20*O20/1000)</f>
        <v/>
      </c>
      <c r="BD20" s="843">
        <v>10</v>
      </c>
      <c r="BE20" s="845" t="s">
        <v>741</v>
      </c>
      <c r="BF20" s="874" t="str">
        <f>IFERROR(IF(OR(K20="",C20="",G20="",Q20="",S20="",O20="",V20="",X20="",AA20="",AD20="",AF20=""),"",ROUND(AK20*INDEX(ENDUSEALL[Factor],MATCH(BE20,ENDUSEALL[End Use to Coincident Peak Demand Factors],0)),4)),"")</f>
        <v/>
      </c>
      <c r="BG20" s="829"/>
      <c r="BH20" s="787" t="str">
        <f>IFERROR(ROUND((S20-X20)*NCLIGHTINGRATE,2),"")</f>
        <v/>
      </c>
      <c r="BI20" s="839" t="str">
        <f t="shared" ref="BI20" si="8">IFERROR(BH20/AK20,"")</f>
        <v/>
      </c>
      <c r="BJ20" s="841" t="str">
        <f t="shared" ref="BJ20" si="9">IFERROR(1-(V20/Q20),"")</f>
        <v/>
      </c>
      <c r="BK20" s="787">
        <f>IFERROR((GROWEFFMATERIAL2+GROWEFFLABOR2)-(GROWBASEMATERIAL2+GROWBASELABOR2),"")</f>
        <v>0</v>
      </c>
      <c r="BL20" s="829"/>
      <c r="BM20" s="815" t="str">
        <f>IFERROR(IF(OR(G20="",K20="",C20="",Q20="",S20="",O20="",V20="",X20="",AA20="",AD20="",AF20=""),"",IF(BO20&lt;&gt;"",SPILLOVERNUMBER,IF(ISNUMBER(SEARCH("Exterior",C20)),EXTLPDNUMBER,INTLPDNUMBER))),"")</f>
        <v/>
      </c>
      <c r="BN20" s="815" t="str">
        <f t="shared" ref="BN20" si="10">IFERROR(IF(ROUND(AN20/AF20,2)=0.5,"Cost Cap at 50%",
IF(BL20&lt;&gt;"","Bonus Incentive",
"NC Incentive")),"")</f>
        <v/>
      </c>
      <c r="BO20" s="815" t="str">
        <f ca="1">IFERROR(IF(EXPIRATION&lt;&gt;"",PROJSTATEXP,
IF(OR(N02S03F17="",N02S03F19=""),MEASURESITE,
IF(OR(N02S03F14="",N02S03F14="Select Rate Code",N02S03F14=0),MEASURERATE,
IF(S20=0,MEASURESTEP1,
IF((BB20-BC20)&lt;=0,MEASURESAVE,
IF(BJ20&lt;=0.1,MEASURELPD,
IF(AH20&lt;=0,MEASUREINCR,""))))))),MEASURESUBMIT)</f>
        <v>Enter Site City &amp; Zip (Building Tab)</v>
      </c>
      <c r="BP20" s="787" t="str">
        <f>IFERROR(IF(OR(K20="",C20="",G20="",Q20="",S20="",O20="",V20="",X20="",AA20="",AD20="",AF20=""),"",ROUND(((1+ELOSS)*((AK20*INDEX(ELECCB[NPV AEC $/kWh],MATCH(BD20,ELECCB[Year Number],1)))+(BF20*INDEX(ELECCB[NPV ACC $/kW],MATCH(BD20,ELECCB[Year Number],1))))),2)),0)</f>
        <v/>
      </c>
      <c r="BQ20" s="853"/>
    </row>
    <row r="21" spans="2:69" ht="15.95" customHeight="1">
      <c r="B21" s="800"/>
      <c r="C21" s="882"/>
      <c r="D21" s="883"/>
      <c r="E21" s="883"/>
      <c r="F21" s="805"/>
      <c r="G21" s="884"/>
      <c r="H21" s="885"/>
      <c r="I21" s="885"/>
      <c r="J21" s="886"/>
      <c r="K21" s="893"/>
      <c r="L21" s="893"/>
      <c r="M21" s="893"/>
      <c r="N21" s="893"/>
      <c r="O21" s="894"/>
      <c r="P21" s="894"/>
      <c r="Q21" s="810"/>
      <c r="R21" s="810"/>
      <c r="S21" s="811"/>
      <c r="T21" s="811"/>
      <c r="U21" s="811"/>
      <c r="V21" s="810"/>
      <c r="W21" s="810"/>
      <c r="X21" s="812"/>
      <c r="Y21" s="876"/>
      <c r="Z21" s="877"/>
      <c r="AA21" s="811"/>
      <c r="AB21" s="811"/>
      <c r="AC21" s="811"/>
      <c r="AD21" s="878"/>
      <c r="AE21" s="878"/>
      <c r="AF21" s="879"/>
      <c r="AG21" s="880"/>
      <c r="AH21" s="881"/>
      <c r="AI21" s="826"/>
      <c r="AJ21" s="826"/>
      <c r="AK21" s="832"/>
      <c r="AL21" s="832"/>
      <c r="AM21" s="832"/>
      <c r="AN21" s="834"/>
      <c r="AO21" s="834"/>
      <c r="AP21" s="834"/>
      <c r="AQ21" s="834"/>
      <c r="AY21" s="836"/>
      <c r="AZ21" s="836"/>
      <c r="BA21" s="816"/>
      <c r="BB21" s="838"/>
      <c r="BC21" s="838"/>
      <c r="BD21" s="844"/>
      <c r="BE21" s="846"/>
      <c r="BF21" s="875"/>
      <c r="BG21" s="830"/>
      <c r="BH21" s="788"/>
      <c r="BI21" s="840"/>
      <c r="BJ21" s="842"/>
      <c r="BK21" s="788"/>
      <c r="BL21" s="830"/>
      <c r="BM21" s="816"/>
      <c r="BN21" s="816"/>
      <c r="BO21" s="816"/>
      <c r="BP21" s="788"/>
      <c r="BQ21" s="854"/>
    </row>
    <row r="22" spans="2:69" ht="15.95" customHeight="1">
      <c r="B22" s="800">
        <v>3</v>
      </c>
      <c r="C22" s="882" t="str">
        <f t="shared" ref="C22" si="11">IF(OR(ISBLANK(X22),X22=""),"","Grow Facility")</f>
        <v/>
      </c>
      <c r="D22" s="883"/>
      <c r="E22" s="883"/>
      <c r="F22" s="805"/>
      <c r="G22" s="884"/>
      <c r="H22" s="885"/>
      <c r="I22" s="885"/>
      <c r="J22" s="886"/>
      <c r="K22" s="887"/>
      <c r="L22" s="887"/>
      <c r="M22" s="887"/>
      <c r="N22" s="887"/>
      <c r="O22" s="814"/>
      <c r="P22" s="814"/>
      <c r="Q22" s="810" t="str">
        <f t="shared" ref="Q22" si="12">IF(OR(K22="",S22=""),"",S22/K22)</f>
        <v/>
      </c>
      <c r="R22" s="810"/>
      <c r="S22" s="811" t="str">
        <f>IF(OR(K22="",C22=""),"",GROWBASEWATT3)</f>
        <v/>
      </c>
      <c r="T22" s="811"/>
      <c r="U22" s="811"/>
      <c r="V22" s="810" t="str">
        <f t="shared" ref="V22" si="13">IF(OR(K22="",C22="",X22=""),"",ROUND(X22/K22,2))</f>
        <v/>
      </c>
      <c r="W22" s="810"/>
      <c r="X22" s="812" t="str">
        <f>IF(OR(GROWEFFWATT3="",GROWEFFWATT3=0),"",GROWEFFWATT3)</f>
        <v/>
      </c>
      <c r="Y22" s="876"/>
      <c r="Z22" s="877"/>
      <c r="AA22" s="811" t="str">
        <f>IF(OR(GROWEFFPPF3=0,GROWEFFPPF3=""),"",GROWEFFPPF3)</f>
        <v/>
      </c>
      <c r="AB22" s="811"/>
      <c r="AC22" s="811"/>
      <c r="AD22" s="878" t="str">
        <f>IF(GROWBASEMATERIAL3+GROWBASELABOR3=0,"",GROWBASEMATERIAL3+GROWBASELABOR3)</f>
        <v/>
      </c>
      <c r="AE22" s="878"/>
      <c r="AF22" s="879" t="str">
        <f>IF(GROWEFFMATERIAL3+GROWEFFLABOR3=0,"",GROWEFFMATERIAL3+GROWEFFLABOR3)</f>
        <v/>
      </c>
      <c r="AG22" s="880"/>
      <c r="AH22" s="881" t="str">
        <f t="shared" ref="AH22" si="14">IF(OR(K22="",C22="",G22="",Q22="",S22="",O22="",V22="",X22="",AA22="",AD22="",AF22=""),"",ROUND(AF22-AD22,2))</f>
        <v/>
      </c>
      <c r="AI22" s="826"/>
      <c r="AJ22" s="826"/>
      <c r="AK22" s="832" t="str">
        <f t="shared" ref="AK22" si="15">IF(OR(K22="",C22="",G22="",Q22="",S22="",O22="",V22="",X22="",AA22="",AD22="",AF22=""),"",IF(BB22-BC22&lt;=0,0,ROUND(BB22-BC22,0)))</f>
        <v/>
      </c>
      <c r="AL22" s="832"/>
      <c r="AM22" s="832"/>
      <c r="AN22" s="834" t="str">
        <f>IF(OR(G22="",K22="",C22="",Q22="",S22="",O22="",V22="",X22="",AA22="",AD22="",AF22=""),"",
IF(BO22&lt;&gt;"",BO22,
IF(BQ22&gt;0,BQ22,
IF(ACTIVEBLOCK_N="Yes",ROUND(MIN(AF22*NCLIGHTINGCAP,AK22*BLOCKBIDRATE),2),
IF(BL22&lt;&gt;"",ROUND(MIN(AF22*NCLIGHTINGCAP,BL22),2),
ROUND(MIN(AF22*NCLIGHTINGCAP,BH22),2))))))</f>
        <v/>
      </c>
      <c r="AO22" s="834"/>
      <c r="AP22" s="834"/>
      <c r="AQ22" s="834"/>
      <c r="AY22" s="835" t="str">
        <f t="shared" ref="AY22" si="16">IFERROR(IF(OR(K22="",C22="",G22="",Q22="",S22="",O22="",V22="",X22="",AA22="",AD22="",AF22=""),"",ROUND(BP22/AH22,2)),0)</f>
        <v/>
      </c>
      <c r="AZ22" s="835" t="str">
        <f>IFERROR(AH22/N02S03F14/AK22,"")</f>
        <v/>
      </c>
      <c r="BA22" s="815" t="s">
        <v>939</v>
      </c>
      <c r="BB22" s="837" t="str">
        <f t="shared" ref="BB22" si="17">IF(OR(K22="",C22="",G22="",Q22="",S22="",O22="",V22="",X22="",AA22="",AD22="",AF22=""),"",S22*O22/1000)</f>
        <v/>
      </c>
      <c r="BC22" s="837" t="str">
        <f t="shared" ref="BC22" si="18">IF(OR(K22="",C22="",G22="",Q22="",S22="",O22="",V22="",X22="",AA22="",AD22="",AF22=""),"",X22*O22/1000)</f>
        <v/>
      </c>
      <c r="BD22" s="843">
        <v>10</v>
      </c>
      <c r="BE22" s="845" t="s">
        <v>741</v>
      </c>
      <c r="BF22" s="874" t="str">
        <f>IFERROR(IF(OR(K22="",C22="",G22="",Q22="",S22="",O22="",V22="",X22="",AA22="",AD22="",AF22=""),"",ROUND(AK22*INDEX(ENDUSEALL[Factor],MATCH(BE22,ENDUSEALL[End Use to Coincident Peak Demand Factors],0)),4)),"")</f>
        <v/>
      </c>
      <c r="BG22" s="829"/>
      <c r="BH22" s="787" t="str">
        <f>IFERROR(ROUND((S22-X22)*NCLIGHTINGRATE,2),"")</f>
        <v/>
      </c>
      <c r="BI22" s="839" t="str">
        <f t="shared" ref="BI22" si="19">IFERROR(BH22/AK22,"")</f>
        <v/>
      </c>
      <c r="BJ22" s="841" t="str">
        <f t="shared" ref="BJ22" si="20">IFERROR(1-(V22/Q22),"")</f>
        <v/>
      </c>
      <c r="BK22" s="787">
        <f>IFERROR((GROWEFFMATERIAL3+GROWEFFLABOR3)-(GROWBASEMATERIAL3+GROWBASELABOR3),"")</f>
        <v>0</v>
      </c>
      <c r="BL22" s="829"/>
      <c r="BM22" s="815" t="str">
        <f>IFERROR(IF(OR(G22="",K22="",C22="",Q22="",S22="",O22="",V22="",X22="",AA22="",AD22="",AF22=""),"",IF(BO22&lt;&gt;"",SPILLOVERNUMBER,IF(ISNUMBER(SEARCH("Exterior",C22)),EXTLPDNUMBER,INTLPDNUMBER))),"")</f>
        <v/>
      </c>
      <c r="BN22" s="815" t="str">
        <f t="shared" ref="BN22" si="21">IFERROR(IF(ROUND(AN22/AF22,2)=0.5,"Cost Cap at 50%",
IF(BL22&lt;&gt;"","Bonus Incentive",
"NC Incentive")),"")</f>
        <v/>
      </c>
      <c r="BO22" s="815" t="str">
        <f ca="1">IFERROR(IF(EXPIRATION&lt;&gt;"",PROJSTATEXP,
IF(OR(N02S03F17="",N02S03F19=""),MEASURESITE,
IF(OR(N02S03F14="",N02S03F14="Select Rate Code",N02S03F14=0),MEASURERATE,
IF(S22=0,MEASURESTEP1,
IF((BB22-BC22)&lt;=0,MEASURESAVE,
IF(BJ22&lt;=0.1,MEASURELPD,
IF(AH22&lt;=0,MEASUREINCR,""))))))),MEASURESUBMIT)</f>
        <v>Enter Site City &amp; Zip (Building Tab)</v>
      </c>
      <c r="BP22" s="787" t="str">
        <f>IFERROR(IF(OR(K22="",C22="",G22="",Q22="",S22="",O22="",V22="",X22="",AA22="",AD22="",AF22=""),"",ROUND(((1+ELOSS)*((AK22*INDEX(ELECCB[NPV AEC $/kWh],MATCH(BD22,ELECCB[Year Number],1)))+(BF22*INDEX(ELECCB[NPV ACC $/kW],MATCH(BD22,ELECCB[Year Number],1))))),2)),0)</f>
        <v/>
      </c>
      <c r="BQ22" s="853"/>
    </row>
    <row r="23" spans="2:69" ht="15.95" customHeight="1">
      <c r="B23" s="800"/>
      <c r="C23" s="882"/>
      <c r="D23" s="883"/>
      <c r="E23" s="883"/>
      <c r="F23" s="805"/>
      <c r="G23" s="884"/>
      <c r="H23" s="885"/>
      <c r="I23" s="885"/>
      <c r="J23" s="886"/>
      <c r="K23" s="801"/>
      <c r="L23" s="801"/>
      <c r="M23" s="801"/>
      <c r="N23" s="801"/>
      <c r="O23" s="814"/>
      <c r="P23" s="814"/>
      <c r="Q23" s="810"/>
      <c r="R23" s="810"/>
      <c r="S23" s="811"/>
      <c r="T23" s="811"/>
      <c r="U23" s="811"/>
      <c r="V23" s="810"/>
      <c r="W23" s="810"/>
      <c r="X23" s="812"/>
      <c r="Y23" s="876"/>
      <c r="Z23" s="877"/>
      <c r="AA23" s="811"/>
      <c r="AB23" s="811"/>
      <c r="AC23" s="811"/>
      <c r="AD23" s="878"/>
      <c r="AE23" s="878"/>
      <c r="AF23" s="879"/>
      <c r="AG23" s="880"/>
      <c r="AH23" s="881"/>
      <c r="AI23" s="826"/>
      <c r="AJ23" s="826"/>
      <c r="AK23" s="832"/>
      <c r="AL23" s="832"/>
      <c r="AM23" s="832"/>
      <c r="AN23" s="834"/>
      <c r="AO23" s="834"/>
      <c r="AP23" s="834"/>
      <c r="AQ23" s="834"/>
      <c r="AY23" s="836"/>
      <c r="AZ23" s="836"/>
      <c r="BA23" s="816"/>
      <c r="BB23" s="838"/>
      <c r="BC23" s="838"/>
      <c r="BD23" s="844"/>
      <c r="BE23" s="846"/>
      <c r="BF23" s="875"/>
      <c r="BG23" s="830"/>
      <c r="BH23" s="788"/>
      <c r="BI23" s="840"/>
      <c r="BJ23" s="842"/>
      <c r="BK23" s="788"/>
      <c r="BL23" s="830"/>
      <c r="BM23" s="816"/>
      <c r="BN23" s="816"/>
      <c r="BO23" s="816"/>
      <c r="BP23" s="788"/>
      <c r="BQ23" s="854"/>
    </row>
    <row r="24" spans="2:69" ht="15.95" customHeight="1">
      <c r="B24" s="800">
        <v>4</v>
      </c>
      <c r="C24" s="882" t="str">
        <f t="shared" ref="C24" si="22">IF(OR(ISBLANK(X24),X24=""),"","Grow Facility")</f>
        <v/>
      </c>
      <c r="D24" s="883"/>
      <c r="E24" s="883"/>
      <c r="F24" s="805"/>
      <c r="G24" s="884"/>
      <c r="H24" s="885"/>
      <c r="I24" s="885"/>
      <c r="J24" s="886"/>
      <c r="K24" s="887"/>
      <c r="L24" s="887"/>
      <c r="M24" s="887"/>
      <c r="N24" s="887"/>
      <c r="O24" s="814"/>
      <c r="P24" s="814"/>
      <c r="Q24" s="810" t="str">
        <f t="shared" ref="Q24" si="23">IF(OR(K24="",S24=""),"",S24/K24)</f>
        <v/>
      </c>
      <c r="R24" s="810"/>
      <c r="S24" s="811" t="str">
        <f>IF(OR(K24="",C24=""),"",GROWBASEWATT4)</f>
        <v/>
      </c>
      <c r="T24" s="811"/>
      <c r="U24" s="811"/>
      <c r="V24" s="810" t="str">
        <f t="shared" ref="V24" si="24">IF(OR(K24="",C24="",X24=""),"",ROUND(X24/K24,2))</f>
        <v/>
      </c>
      <c r="W24" s="810"/>
      <c r="X24" s="812" t="str">
        <f>IF(OR(GROWEFFWATT4="",GROWEFFWATT4=0),"",GROWEFFWATT4)</f>
        <v/>
      </c>
      <c r="Y24" s="876"/>
      <c r="Z24" s="877"/>
      <c r="AA24" s="811" t="str">
        <f>IF(OR(GROWEFFPPF4=0,GROWEFFPPF4=""),"",GROWEFFPPF4)</f>
        <v/>
      </c>
      <c r="AB24" s="811"/>
      <c r="AC24" s="811"/>
      <c r="AD24" s="878" t="str">
        <f>IF(GROWBASEMATERIAL4+GROWBASELABOR4=0,"",GROWBASEMATERIAL4+GROWBASELABOR4)</f>
        <v/>
      </c>
      <c r="AE24" s="878"/>
      <c r="AF24" s="879" t="str">
        <f>IF(GROWEFFMATERIAL4+GROWEFFLABOR4=0,"",GROWEFFMATERIAL4+GROWEFFLABOR4)</f>
        <v/>
      </c>
      <c r="AG24" s="880"/>
      <c r="AH24" s="881" t="str">
        <f t="shared" ref="AH24" si="25">IF(OR(K24="",C24="",G24="",Q24="",S24="",O24="",V24="",X24="",AA24="",AD24="",AF24=""),"",ROUND(AF24-AD24,2))</f>
        <v/>
      </c>
      <c r="AI24" s="826"/>
      <c r="AJ24" s="826"/>
      <c r="AK24" s="832" t="str">
        <f t="shared" ref="AK24" si="26">IF(OR(K24="",C24="",G24="",Q24="",S24="",O24="",V24="",X24="",AA24="",AD24="",AF24=""),"",IF(BB24-BC24&lt;=0,0,ROUND(BB24-BC24,0)))</f>
        <v/>
      </c>
      <c r="AL24" s="832"/>
      <c r="AM24" s="832"/>
      <c r="AN24" s="834" t="str">
        <f>IF(OR(G24="",K24="",C24="",Q24="",S24="",O24="",V24="",X24="",AA24="",AD24="",AF24=""),"",
IF(BO24&lt;&gt;"",BO24,
IF(BQ24&gt;0,BQ24,
IF(ACTIVEBLOCK_N="Yes",ROUND(MIN(AF24*NCLIGHTINGCAP,AK24*BLOCKBIDRATE),2),
IF(BL24&lt;&gt;"",ROUND(MIN(AF24*NCLIGHTINGCAP,BL24),2),
ROUND(MIN(AF24*NCLIGHTINGCAP,BH24),2))))))</f>
        <v/>
      </c>
      <c r="AO24" s="834"/>
      <c r="AP24" s="834"/>
      <c r="AQ24" s="834"/>
      <c r="AY24" s="835" t="str">
        <f t="shared" ref="AY24" si="27">IFERROR(IF(OR(K24="",C24="",G24="",Q24="",S24="",O24="",V24="",X24="",AA24="",AD24="",AF24=""),"",ROUND(BP24/AH24,2)),0)</f>
        <v/>
      </c>
      <c r="AZ24" s="835" t="str">
        <f>IFERROR(AH24/N02S03F14/AK24,"")</f>
        <v/>
      </c>
      <c r="BA24" s="815" t="s">
        <v>939</v>
      </c>
      <c r="BB24" s="837" t="str">
        <f t="shared" ref="BB24" si="28">IF(OR(K24="",C24="",G24="",Q24="",S24="",O24="",V24="",X24="",AA24="",AD24="",AF24=""),"",S24*O24/1000)</f>
        <v/>
      </c>
      <c r="BC24" s="837" t="str">
        <f t="shared" ref="BC24" si="29">IF(OR(K24="",C24="",G24="",Q24="",S24="",O24="",V24="",X24="",AA24="",AD24="",AF24=""),"",X24*O24/1000)</f>
        <v/>
      </c>
      <c r="BD24" s="843">
        <v>10</v>
      </c>
      <c r="BE24" s="845" t="s">
        <v>741</v>
      </c>
      <c r="BF24" s="874" t="str">
        <f>IFERROR(IF(OR(K24="",C24="",G24="",Q24="",S24="",O24="",V24="",X24="",AA24="",AD24="",AF24=""),"",ROUND(AK24*INDEX(ENDUSEALL[Factor],MATCH(BE24,ENDUSEALL[End Use to Coincident Peak Demand Factors],0)),4)),"")</f>
        <v/>
      </c>
      <c r="BG24" s="829"/>
      <c r="BH24" s="787" t="str">
        <f>IFERROR(ROUND((S24-X24)*NCLIGHTINGRATE,2),"")</f>
        <v/>
      </c>
      <c r="BI24" s="839" t="str">
        <f t="shared" ref="BI24" si="30">IFERROR(BH24/AK24,"")</f>
        <v/>
      </c>
      <c r="BJ24" s="841" t="str">
        <f t="shared" ref="BJ24" si="31">IFERROR(1-(V24/Q24),"")</f>
        <v/>
      </c>
      <c r="BK24" s="787">
        <f>IFERROR((GROWEFFMATERIAL4+GROWEFFLABOR4)-(GROWBASEMATERIAL4+GROWBASELABOR4),"")</f>
        <v>0</v>
      </c>
      <c r="BL24" s="829"/>
      <c r="BM24" s="815" t="str">
        <f>IFERROR(IF(OR(G24="",K24="",C24="",Q24="",S24="",O24="",V24="",X24="",AA24="",AD24="",AF24=""),"",IF(BO24&lt;&gt;"",SPILLOVERNUMBER,IF(ISNUMBER(SEARCH("Exterior",C24)),EXTLPDNUMBER,INTLPDNUMBER))),"")</f>
        <v/>
      </c>
      <c r="BN24" s="815" t="str">
        <f t="shared" ref="BN24" si="32">IFERROR(IF(ROUND(AN24/AF24,2)=0.5,"Cost Cap at 50%",
IF(BL24&lt;&gt;"","Bonus Incentive",
"NC Incentive")),"")</f>
        <v/>
      </c>
      <c r="BO24" s="815" t="str">
        <f ca="1">IFERROR(IF(EXPIRATION&lt;&gt;"",PROJSTATEXP,
IF(OR(N02S03F17="",N02S03F19=""),MEASURESITE,
IF(OR(N02S03F14="",N02S03F14="Select Rate Code",N02S03F14=0),MEASURERATE,
IF(S24=0,MEASURESTEP1,
IF((BB24-BC24)&lt;=0,MEASURESAVE,
IF(BJ24&lt;=0.1,MEASURELPD,
IF(AH24&lt;=0,MEASUREINCR,""))))))),MEASURESUBMIT)</f>
        <v>Enter Site City &amp; Zip (Building Tab)</v>
      </c>
      <c r="BP24" s="787" t="str">
        <f>IFERROR(IF(OR(K24="",C24="",G24="",Q24="",S24="",O24="",V24="",X24="",AA24="",AD24="",AF24=""),"",ROUND(((1+ELOSS)*((AK24*INDEX(ELECCB[NPV AEC $/kWh],MATCH(BD24,ELECCB[Year Number],1)))+(BF24*INDEX(ELECCB[NPV ACC $/kW],MATCH(BD24,ELECCB[Year Number],1))))),2)),0)</f>
        <v/>
      </c>
      <c r="BQ24" s="853"/>
    </row>
    <row r="25" spans="2:69" ht="15.95" customHeight="1">
      <c r="B25" s="800"/>
      <c r="C25" s="882"/>
      <c r="D25" s="883"/>
      <c r="E25" s="883"/>
      <c r="F25" s="805"/>
      <c r="G25" s="884"/>
      <c r="H25" s="885"/>
      <c r="I25" s="885"/>
      <c r="J25" s="886"/>
      <c r="K25" s="801"/>
      <c r="L25" s="801"/>
      <c r="M25" s="801"/>
      <c r="N25" s="801"/>
      <c r="O25" s="814"/>
      <c r="P25" s="814"/>
      <c r="Q25" s="810"/>
      <c r="R25" s="810"/>
      <c r="S25" s="811"/>
      <c r="T25" s="811"/>
      <c r="U25" s="811"/>
      <c r="V25" s="810"/>
      <c r="W25" s="810"/>
      <c r="X25" s="812"/>
      <c r="Y25" s="876"/>
      <c r="Z25" s="877"/>
      <c r="AA25" s="811"/>
      <c r="AB25" s="811"/>
      <c r="AC25" s="811"/>
      <c r="AD25" s="878"/>
      <c r="AE25" s="878"/>
      <c r="AF25" s="879"/>
      <c r="AG25" s="880"/>
      <c r="AH25" s="881"/>
      <c r="AI25" s="826"/>
      <c r="AJ25" s="826"/>
      <c r="AK25" s="832"/>
      <c r="AL25" s="832"/>
      <c r="AM25" s="832"/>
      <c r="AN25" s="834"/>
      <c r="AO25" s="834"/>
      <c r="AP25" s="834"/>
      <c r="AQ25" s="834"/>
      <c r="AY25" s="836"/>
      <c r="AZ25" s="836"/>
      <c r="BA25" s="816"/>
      <c r="BB25" s="838"/>
      <c r="BC25" s="838"/>
      <c r="BD25" s="844"/>
      <c r="BE25" s="846"/>
      <c r="BF25" s="875"/>
      <c r="BG25" s="830"/>
      <c r="BH25" s="788"/>
      <c r="BI25" s="840"/>
      <c r="BJ25" s="842"/>
      <c r="BK25" s="788"/>
      <c r="BL25" s="830"/>
      <c r="BM25" s="816"/>
      <c r="BN25" s="816"/>
      <c r="BO25" s="816"/>
      <c r="BP25" s="788"/>
      <c r="BQ25" s="854"/>
    </row>
    <row r="26" spans="2:69" ht="15.95" customHeight="1">
      <c r="BB26" s="443"/>
      <c r="BC26" s="443"/>
    </row>
    <row r="27" spans="2:69" ht="15.95" hidden="1" customHeight="1">
      <c r="BB27" s="443"/>
      <c r="BC27" s="443"/>
    </row>
    <row r="28" spans="2:69" ht="15.95" hidden="1" customHeight="1">
      <c r="BB28" s="443"/>
      <c r="BC28" s="443"/>
    </row>
    <row r="29" spans="2:69" ht="15.95" hidden="1" customHeight="1">
      <c r="BB29" s="443"/>
      <c r="BC29" s="443"/>
    </row>
    <row r="30" spans="2:69" ht="15.95" hidden="1" customHeight="1">
      <c r="BB30" s="443"/>
      <c r="BC30" s="443"/>
    </row>
    <row r="31" spans="2:69" ht="15.95" hidden="1" customHeight="1">
      <c r="BB31" s="443"/>
      <c r="BC31" s="443"/>
    </row>
    <row r="32" spans="2:69" ht="15.95" hidden="1" customHeight="1">
      <c r="BB32" s="443"/>
      <c r="BC32" s="443"/>
    </row>
    <row r="33" spans="54:55" ht="15.95" hidden="1" customHeight="1">
      <c r="BB33" s="443"/>
      <c r="BC33" s="443"/>
    </row>
    <row r="34" spans="54:55" ht="15.95" hidden="1" customHeight="1">
      <c r="BB34" s="443"/>
      <c r="BC34" s="443"/>
    </row>
    <row r="35" spans="54:55" ht="15.95" hidden="1" customHeight="1">
      <c r="BB35" s="443"/>
      <c r="BC35" s="443"/>
    </row>
    <row r="36" spans="54:55" ht="15.95" hidden="1" customHeight="1">
      <c r="BB36" s="443"/>
      <c r="BC36" s="443"/>
    </row>
    <row r="37" spans="54:55" ht="15.95" hidden="1" customHeight="1">
      <c r="BB37" s="443"/>
      <c r="BC37" s="443"/>
    </row>
    <row r="38" spans="54:55" ht="15.95" hidden="1" customHeight="1">
      <c r="BB38" s="443"/>
      <c r="BC38" s="443"/>
    </row>
    <row r="39" spans="54:55" ht="15.95" hidden="1" customHeight="1">
      <c r="BB39" s="443"/>
      <c r="BC39" s="443"/>
    </row>
    <row r="40" spans="54:55" ht="15.95" hidden="1" customHeight="1">
      <c r="BB40" s="443"/>
      <c r="BC40" s="443"/>
    </row>
    <row r="41" spans="54:55" ht="15.95" hidden="1" customHeight="1">
      <c r="BB41" s="443"/>
      <c r="BC41" s="443"/>
    </row>
    <row r="42" spans="54:55" ht="15.95" hidden="1" customHeight="1">
      <c r="BB42" s="443"/>
      <c r="BC42" s="443"/>
    </row>
    <row r="43" spans="54:55" ht="15.95" hidden="1" customHeight="1">
      <c r="BB43" s="443"/>
      <c r="BC43" s="443"/>
    </row>
    <row r="44" spans="54:55" ht="15.95" hidden="1" customHeight="1">
      <c r="BB44" s="443"/>
      <c r="BC44" s="443"/>
    </row>
    <row r="45" spans="54:55" ht="15.95" hidden="1" customHeight="1">
      <c r="BB45" s="443"/>
      <c r="BC45" s="443"/>
    </row>
    <row r="46" spans="54:55" ht="15.95" hidden="1" customHeight="1">
      <c r="BB46" s="443"/>
      <c r="BC46" s="443"/>
    </row>
    <row r="47" spans="54:55" ht="15.95" hidden="1" customHeight="1">
      <c r="BB47" s="443"/>
      <c r="BC47" s="443"/>
    </row>
    <row r="48" spans="54:55" ht="15.95" hidden="1" customHeight="1">
      <c r="BB48" s="443"/>
      <c r="BC48" s="443"/>
    </row>
    <row r="49" spans="54:55" ht="15.95" hidden="1" customHeight="1">
      <c r="BB49" s="443"/>
      <c r="BC49" s="443"/>
    </row>
    <row r="50" spans="54:55" ht="15.95" hidden="1" customHeight="1">
      <c r="BB50" s="443"/>
      <c r="BC50" s="443"/>
    </row>
    <row r="51" spans="54:55" ht="15.95" hidden="1" customHeight="1">
      <c r="BB51" s="443"/>
      <c r="BC51" s="443"/>
    </row>
    <row r="52" spans="54:55" ht="15.95" hidden="1" customHeight="1">
      <c r="BB52" s="443"/>
      <c r="BC52" s="443"/>
    </row>
    <row r="53" spans="54:55" ht="15.95" hidden="1" customHeight="1">
      <c r="BB53" s="443"/>
      <c r="BC53" s="443"/>
    </row>
    <row r="54" spans="54:55" ht="15.95" hidden="1" customHeight="1">
      <c r="BB54" s="443"/>
      <c r="BC54" s="443"/>
    </row>
    <row r="55" spans="54:55" ht="15.95" hidden="1" customHeight="1">
      <c r="BB55" s="443"/>
      <c r="BC55" s="443"/>
    </row>
    <row r="56" spans="54:55" ht="15.95" hidden="1" customHeight="1">
      <c r="BB56" s="443"/>
      <c r="BC56" s="443"/>
    </row>
    <row r="57" spans="54:55" ht="15.95" hidden="1" customHeight="1">
      <c r="BB57" s="443"/>
      <c r="BC57" s="443"/>
    </row>
    <row r="58" spans="54:55" ht="15.95" hidden="1" customHeight="1">
      <c r="BB58" s="443"/>
      <c r="BC58" s="443"/>
    </row>
    <row r="59" spans="54:55" ht="15.95" hidden="1" customHeight="1">
      <c r="BB59" s="443"/>
      <c r="BC59" s="443"/>
    </row>
    <row r="60" spans="54:55" ht="15.95" hidden="1" customHeight="1">
      <c r="BB60" s="443"/>
      <c r="BC60" s="443"/>
    </row>
    <row r="61" spans="54:55" ht="15.95" hidden="1" customHeight="1">
      <c r="BB61" s="443"/>
      <c r="BC61" s="443"/>
    </row>
    <row r="62" spans="54:55" ht="15.95" hidden="1" customHeight="1">
      <c r="BB62" s="443"/>
      <c r="BC62" s="443"/>
    </row>
    <row r="63" spans="54:55" ht="15.95" hidden="1" customHeight="1">
      <c r="BB63" s="443"/>
      <c r="BC63" s="443"/>
    </row>
    <row r="64" spans="54:55" ht="15.95" hidden="1" customHeight="1">
      <c r="BB64" s="443"/>
      <c r="BC64" s="443"/>
    </row>
    <row r="65" spans="54:55" ht="15.95" hidden="1" customHeight="1">
      <c r="BB65" s="443"/>
      <c r="BC65" s="443"/>
    </row>
    <row r="66" spans="54:55" ht="15.95" hidden="1" customHeight="1">
      <c r="BB66" s="443"/>
      <c r="BC66" s="443"/>
    </row>
    <row r="67" spans="54:55" ht="15.95" hidden="1" customHeight="1">
      <c r="BB67" s="443"/>
      <c r="BC67" s="443"/>
    </row>
    <row r="68" spans="54:55" ht="15.95" hidden="1" customHeight="1">
      <c r="BB68" s="443"/>
      <c r="BC68" s="443"/>
    </row>
    <row r="69" spans="54:55" ht="15.95" hidden="1" customHeight="1">
      <c r="BB69" s="443"/>
      <c r="BC69" s="443"/>
    </row>
    <row r="70" spans="54:55" ht="15.95" hidden="1" customHeight="1">
      <c r="BB70" s="443"/>
      <c r="BC70" s="443"/>
    </row>
    <row r="71" spans="54:55" ht="15.95" hidden="1" customHeight="1">
      <c r="BB71" s="443"/>
      <c r="BC71" s="443"/>
    </row>
    <row r="72" spans="54:55" ht="15.95" hidden="1" customHeight="1">
      <c r="BB72" s="443"/>
      <c r="BC72" s="443"/>
    </row>
    <row r="73" spans="54:55" ht="15.95" hidden="1" customHeight="1">
      <c r="BB73" s="443"/>
      <c r="BC73" s="443"/>
    </row>
    <row r="74" spans="54:55" ht="15.95" hidden="1" customHeight="1">
      <c r="BB74" s="443"/>
      <c r="BC74" s="443"/>
    </row>
    <row r="75" spans="54:55" ht="15.95" hidden="1" customHeight="1">
      <c r="BB75" s="443"/>
      <c r="BC75" s="443"/>
    </row>
    <row r="76" spans="54:55" ht="15.95" hidden="1" customHeight="1">
      <c r="BB76" s="443"/>
      <c r="BC76" s="443"/>
    </row>
    <row r="77" spans="54:55" ht="15.95" hidden="1" customHeight="1">
      <c r="BB77" s="443"/>
      <c r="BC77" s="443"/>
    </row>
    <row r="78" spans="54:55" ht="15.95" hidden="1" customHeight="1">
      <c r="BB78" s="443"/>
      <c r="BC78" s="443"/>
    </row>
    <row r="79" spans="54:55" ht="15.95" hidden="1" customHeight="1">
      <c r="BB79" s="443"/>
      <c r="BC79" s="443"/>
    </row>
    <row r="80" spans="54:55" ht="15.95" hidden="1" customHeight="1">
      <c r="BB80" s="443"/>
      <c r="BC80" s="443"/>
    </row>
    <row r="81" spans="54:55" ht="15.95" hidden="1" customHeight="1">
      <c r="BB81" s="443"/>
      <c r="BC81" s="443"/>
    </row>
    <row r="82" spans="54:55" ht="15.95" hidden="1" customHeight="1">
      <c r="BB82" s="443"/>
      <c r="BC82" s="443"/>
    </row>
    <row r="83" spans="54:55" ht="15.95" hidden="1" customHeight="1">
      <c r="BB83" s="443"/>
      <c r="BC83" s="443"/>
    </row>
    <row r="84" spans="54:55" ht="15.95" hidden="1" customHeight="1">
      <c r="BB84" s="443"/>
      <c r="BC84" s="443"/>
    </row>
    <row r="85" spans="54:55" ht="15.95" hidden="1" customHeight="1">
      <c r="BB85" s="443"/>
      <c r="BC85" s="443"/>
    </row>
    <row r="86" spans="54:55" ht="15.95" hidden="1" customHeight="1">
      <c r="BB86" s="443"/>
      <c r="BC86" s="443"/>
    </row>
    <row r="87" spans="54:55" ht="15.95" hidden="1" customHeight="1">
      <c r="BB87" s="443"/>
      <c r="BC87" s="443"/>
    </row>
    <row r="88" spans="54:55" ht="15.95" hidden="1" customHeight="1">
      <c r="BB88" s="443"/>
      <c r="BC88" s="443"/>
    </row>
    <row r="89" spans="54:55" ht="15.95" hidden="1" customHeight="1">
      <c r="BB89" s="443"/>
      <c r="BC89" s="443"/>
    </row>
    <row r="90" spans="54:55" ht="15.95" hidden="1" customHeight="1">
      <c r="BB90" s="443"/>
      <c r="BC90" s="443"/>
    </row>
    <row r="91" spans="54:55" ht="15.95" hidden="1" customHeight="1">
      <c r="BB91" s="443"/>
      <c r="BC91" s="443"/>
    </row>
    <row r="92" spans="54:55" ht="15.95" hidden="1" customHeight="1">
      <c r="BB92" s="443"/>
      <c r="BC92" s="443"/>
    </row>
    <row r="93" spans="54:55" ht="15.95" hidden="1" customHeight="1">
      <c r="BB93" s="443"/>
      <c r="BC93" s="443"/>
    </row>
    <row r="94" spans="54:55" ht="15.95" hidden="1" customHeight="1">
      <c r="BB94" s="443"/>
      <c r="BC94" s="443"/>
    </row>
    <row r="95" spans="54:55" ht="15.95" hidden="1" customHeight="1">
      <c r="BB95" s="443"/>
      <c r="BC95" s="443"/>
    </row>
    <row r="96" spans="54:55" ht="15.95" hidden="1" customHeight="1">
      <c r="BB96" s="443"/>
      <c r="BC96" s="443"/>
    </row>
    <row r="97" spans="54:55" ht="15.95" hidden="1" customHeight="1">
      <c r="BB97" s="443"/>
      <c r="BC97" s="443"/>
    </row>
    <row r="98" spans="54:55" ht="15.95" hidden="1" customHeight="1">
      <c r="BB98" s="443"/>
      <c r="BC98" s="443"/>
    </row>
    <row r="99" spans="54:55" ht="15.95" hidden="1" customHeight="1">
      <c r="BB99" s="443"/>
      <c r="BC99" s="443"/>
    </row>
    <row r="100" spans="54:55" ht="15.95" hidden="1" customHeight="1">
      <c r="BB100" s="443"/>
      <c r="BC100" s="443"/>
    </row>
    <row r="101" spans="54:55" ht="15.95" hidden="1" customHeight="1">
      <c r="BB101" s="443"/>
      <c r="BC101" s="443"/>
    </row>
    <row r="102" spans="54:55" ht="15.95" hidden="1" customHeight="1">
      <c r="BB102" s="443"/>
      <c r="BC102" s="443"/>
    </row>
    <row r="103" spans="54:55" ht="15.95" hidden="1" customHeight="1">
      <c r="BB103" s="443"/>
      <c r="BC103" s="443"/>
    </row>
    <row r="104" spans="54:55" ht="15.95" hidden="1" customHeight="1">
      <c r="BB104" s="443"/>
      <c r="BC104" s="443"/>
    </row>
    <row r="105" spans="54:55" ht="15.95" hidden="1" customHeight="1">
      <c r="BB105" s="443"/>
      <c r="BC105" s="443"/>
    </row>
    <row r="106" spans="54:55" ht="15.95" hidden="1" customHeight="1">
      <c r="BB106" s="443"/>
      <c r="BC106" s="443"/>
    </row>
    <row r="107" spans="54:55" ht="15.95" hidden="1" customHeight="1">
      <c r="BB107" s="443"/>
      <c r="BC107" s="443"/>
    </row>
    <row r="108" spans="54:55" ht="15.95" hidden="1" customHeight="1">
      <c r="BB108" s="443"/>
      <c r="BC108" s="443"/>
    </row>
    <row r="109" spans="54:55" ht="15.95" hidden="1" customHeight="1">
      <c r="BB109" s="443"/>
      <c r="BC109" s="443"/>
    </row>
    <row r="110" spans="54:55" ht="15.95" hidden="1" customHeight="1">
      <c r="BB110" s="443"/>
      <c r="BC110" s="443"/>
    </row>
    <row r="111" spans="54:55" ht="15.95" hidden="1" customHeight="1">
      <c r="BB111" s="443"/>
      <c r="BC111" s="443"/>
    </row>
    <row r="112" spans="54:55" ht="15.95" hidden="1" customHeight="1">
      <c r="BB112" s="443"/>
      <c r="BC112" s="443"/>
    </row>
    <row r="113" spans="54:55" ht="15.95" hidden="1" customHeight="1">
      <c r="BB113" s="443"/>
      <c r="BC113" s="443"/>
    </row>
    <row r="114" spans="54:55" ht="15.95" hidden="1" customHeight="1">
      <c r="BB114" s="443"/>
      <c r="BC114" s="443"/>
    </row>
    <row r="115" spans="54:55" ht="15.95" hidden="1" customHeight="1">
      <c r="BB115" s="443"/>
      <c r="BC115" s="443"/>
    </row>
    <row r="116" spans="54:55" ht="15.95" hidden="1" customHeight="1">
      <c r="BB116" s="443"/>
      <c r="BC116" s="443"/>
    </row>
    <row r="117" spans="54:55" ht="15.95" hidden="1" customHeight="1">
      <c r="BB117" s="443"/>
      <c r="BC117" s="443"/>
    </row>
    <row r="118" spans="54:55" ht="15.95" hidden="1" customHeight="1">
      <c r="BB118" s="443"/>
      <c r="BC118" s="443"/>
    </row>
    <row r="119" spans="54:55" ht="15.95" hidden="1" customHeight="1">
      <c r="BB119" s="443"/>
      <c r="BC119" s="443"/>
    </row>
    <row r="120" spans="54:55" ht="15.95" hidden="1" customHeight="1">
      <c r="BB120" s="443"/>
      <c r="BC120" s="443"/>
    </row>
    <row r="121" spans="54:55" ht="15.95" hidden="1" customHeight="1">
      <c r="BB121" s="443"/>
      <c r="BC121" s="443"/>
    </row>
    <row r="122" spans="54:55" ht="15.95" hidden="1" customHeight="1">
      <c r="BB122" s="443"/>
      <c r="BC122" s="443"/>
    </row>
    <row r="123" spans="54:55" ht="15.95" hidden="1" customHeight="1">
      <c r="BB123" s="443"/>
      <c r="BC123" s="443"/>
    </row>
    <row r="124" spans="54:55" ht="15.95" hidden="1" customHeight="1">
      <c r="BB124" s="443"/>
      <c r="BC124" s="443"/>
    </row>
    <row r="125" spans="54:55" ht="15.95" hidden="1" customHeight="1">
      <c r="BB125" s="443"/>
      <c r="BC125" s="443"/>
    </row>
    <row r="126" spans="54:55" ht="15.95" hidden="1" customHeight="1">
      <c r="BB126" s="443"/>
      <c r="BC126" s="443"/>
    </row>
    <row r="127" spans="54:55" ht="15.95" hidden="1" customHeight="1">
      <c r="BB127" s="443"/>
      <c r="BC127" s="443"/>
    </row>
    <row r="128" spans="54:55" ht="15.95" hidden="1" customHeight="1">
      <c r="BB128" s="443"/>
      <c r="BC128" s="443"/>
    </row>
    <row r="129" spans="54:55" ht="15.95" hidden="1" customHeight="1">
      <c r="BB129" s="443"/>
      <c r="BC129" s="443"/>
    </row>
    <row r="130" spans="54:55" ht="15.95" hidden="1" customHeight="1">
      <c r="BB130" s="443"/>
      <c r="BC130" s="443"/>
    </row>
    <row r="131" spans="54:55" ht="15.95" hidden="1" customHeight="1">
      <c r="BB131" s="443"/>
      <c r="BC131" s="443"/>
    </row>
    <row r="132" spans="54:55" ht="15.95" hidden="1" customHeight="1">
      <c r="BB132" s="443"/>
      <c r="BC132" s="443"/>
    </row>
    <row r="133" spans="54:55" ht="15.95" hidden="1" customHeight="1">
      <c r="BB133" s="443"/>
      <c r="BC133" s="443"/>
    </row>
    <row r="134" spans="54:55" ht="15.95" hidden="1" customHeight="1">
      <c r="BB134" s="443"/>
      <c r="BC134" s="443"/>
    </row>
    <row r="135" spans="54:55" ht="15.95" hidden="1" customHeight="1">
      <c r="BB135" s="443"/>
      <c r="BC135" s="443"/>
    </row>
    <row r="136" spans="54:55" ht="15.95" hidden="1" customHeight="1">
      <c r="BB136" s="443"/>
      <c r="BC136" s="443"/>
    </row>
    <row r="137" spans="54:55" ht="15.95" hidden="1" customHeight="1">
      <c r="BB137" s="443"/>
      <c r="BC137" s="443"/>
    </row>
    <row r="138" spans="54:55" ht="15.95" hidden="1" customHeight="1">
      <c r="BB138" s="443"/>
      <c r="BC138" s="443"/>
    </row>
    <row r="139" spans="54:55" ht="15.95" hidden="1" customHeight="1">
      <c r="BB139" s="443"/>
      <c r="BC139" s="443"/>
    </row>
    <row r="140" spans="54:55" ht="15.95" hidden="1" customHeight="1">
      <c r="BB140" s="443"/>
      <c r="BC140" s="443"/>
    </row>
    <row r="141" spans="54:55" ht="15.95" hidden="1" customHeight="1">
      <c r="BB141" s="443"/>
      <c r="BC141" s="443"/>
    </row>
    <row r="142" spans="54:55" ht="15.95" hidden="1" customHeight="1">
      <c r="BB142" s="443"/>
      <c r="BC142" s="443"/>
    </row>
    <row r="143" spans="54:55" ht="15.95" hidden="1" customHeight="1">
      <c r="BB143" s="443"/>
      <c r="BC143" s="443"/>
    </row>
    <row r="144" spans="54:55" ht="15.95" hidden="1" customHeight="1">
      <c r="BB144" s="443"/>
      <c r="BC144" s="443"/>
    </row>
    <row r="145" spans="54:55" ht="15.95" hidden="1" customHeight="1">
      <c r="BB145" s="443"/>
      <c r="BC145" s="443"/>
    </row>
    <row r="146" spans="54:55" ht="15.95" hidden="1" customHeight="1">
      <c r="BB146" s="443"/>
      <c r="BC146" s="443"/>
    </row>
    <row r="147" spans="54:55" ht="15.95" hidden="1" customHeight="1">
      <c r="BB147" s="443"/>
      <c r="BC147" s="443"/>
    </row>
    <row r="148" spans="54:55" ht="15.95" hidden="1" customHeight="1">
      <c r="BB148" s="443"/>
      <c r="BC148" s="443"/>
    </row>
    <row r="149" spans="54:55" ht="15.95" hidden="1" customHeight="1">
      <c r="BB149" s="443"/>
      <c r="BC149" s="443"/>
    </row>
    <row r="150" spans="54:55" ht="15.95" hidden="1" customHeight="1">
      <c r="BB150" s="443"/>
      <c r="BC150" s="443"/>
    </row>
    <row r="151" spans="54:55" ht="15.95" hidden="1" customHeight="1">
      <c r="BB151" s="443"/>
      <c r="BC151" s="443"/>
    </row>
    <row r="152" spans="54:55" ht="15.95" hidden="1" customHeight="1">
      <c r="BB152" s="443"/>
      <c r="BC152" s="443"/>
    </row>
    <row r="153" spans="54:55" ht="15.95" hidden="1" customHeight="1">
      <c r="BB153" s="443"/>
      <c r="BC153" s="443"/>
    </row>
    <row r="154" spans="54:55" ht="15.95" hidden="1" customHeight="1">
      <c r="BB154" s="443"/>
      <c r="BC154" s="443"/>
    </row>
    <row r="155" spans="54:55" ht="15.95" hidden="1" customHeight="1">
      <c r="BB155" s="443"/>
      <c r="BC155" s="443"/>
    </row>
    <row r="156" spans="54:55" ht="15.95" hidden="1" customHeight="1">
      <c r="BB156" s="443"/>
      <c r="BC156" s="443"/>
    </row>
    <row r="157" spans="54:55" ht="15.95" hidden="1" customHeight="1">
      <c r="BB157" s="443"/>
      <c r="BC157" s="443"/>
    </row>
    <row r="158" spans="54:55" ht="15.95" hidden="1" customHeight="1">
      <c r="BB158" s="443"/>
      <c r="BC158" s="443"/>
    </row>
    <row r="159" spans="54:55" ht="15.95" hidden="1" customHeight="1">
      <c r="BB159" s="443"/>
      <c r="BC159" s="443"/>
    </row>
    <row r="160" spans="54:55" ht="15.95" hidden="1" customHeight="1">
      <c r="BB160" s="443"/>
      <c r="BC160" s="443"/>
    </row>
    <row r="161" spans="54:55" ht="15.95" hidden="1" customHeight="1">
      <c r="BB161" s="443"/>
      <c r="BC161" s="443"/>
    </row>
    <row r="162" spans="54:55" ht="15.95" hidden="1" customHeight="1">
      <c r="BB162" s="443"/>
      <c r="BC162" s="443"/>
    </row>
    <row r="163" spans="54:55" ht="15.95" hidden="1" customHeight="1">
      <c r="BB163" s="443"/>
      <c r="BC163" s="443"/>
    </row>
    <row r="164" spans="54:55" ht="15.95" hidden="1" customHeight="1">
      <c r="BB164" s="443"/>
      <c r="BC164" s="443"/>
    </row>
    <row r="165" spans="54:55" ht="15.95" hidden="1" customHeight="1">
      <c r="BB165" s="443"/>
      <c r="BC165" s="443"/>
    </row>
    <row r="166" spans="54:55" ht="15.95" hidden="1" customHeight="1">
      <c r="BB166" s="443"/>
      <c r="BC166" s="443"/>
    </row>
    <row r="167" spans="54:55" ht="15.95" hidden="1" customHeight="1">
      <c r="BB167" s="443"/>
      <c r="BC167" s="443"/>
    </row>
    <row r="168" spans="54:55" ht="15.95" hidden="1" customHeight="1">
      <c r="BB168" s="443"/>
      <c r="BC168" s="443"/>
    </row>
    <row r="169" spans="54:55" ht="15.95" hidden="1" customHeight="1">
      <c r="BB169" s="443"/>
      <c r="BC169" s="443"/>
    </row>
    <row r="170" spans="54:55" ht="15.95" hidden="1" customHeight="1">
      <c r="BB170" s="443"/>
      <c r="BC170" s="443"/>
    </row>
    <row r="171" spans="54:55" ht="15.95" hidden="1" customHeight="1">
      <c r="BB171" s="443"/>
      <c r="BC171" s="443"/>
    </row>
    <row r="172" spans="54:55" ht="15.95" hidden="1" customHeight="1">
      <c r="BB172" s="443"/>
      <c r="BC172" s="443"/>
    </row>
    <row r="173" spans="54:55" ht="15.95" hidden="1" customHeight="1">
      <c r="BB173" s="443"/>
      <c r="BC173" s="443"/>
    </row>
    <row r="174" spans="54:55" ht="15.95" hidden="1" customHeight="1">
      <c r="BB174" s="443"/>
      <c r="BC174" s="443"/>
    </row>
    <row r="175" spans="54:55" ht="15.95" hidden="1" customHeight="1">
      <c r="BB175" s="443"/>
      <c r="BC175" s="443"/>
    </row>
    <row r="176" spans="54:55" ht="15.95" hidden="1" customHeight="1">
      <c r="BB176" s="443"/>
      <c r="BC176" s="443"/>
    </row>
    <row r="177" spans="54:55" ht="15.95" hidden="1" customHeight="1">
      <c r="BB177" s="443"/>
      <c r="BC177" s="443"/>
    </row>
    <row r="178" spans="54:55" ht="15.95" hidden="1" customHeight="1">
      <c r="BB178" s="443"/>
      <c r="BC178" s="443"/>
    </row>
    <row r="179" spans="54:55" ht="15.95" hidden="1" customHeight="1">
      <c r="BB179" s="443"/>
      <c r="BC179" s="443"/>
    </row>
    <row r="180" spans="54:55" ht="15.95" hidden="1" customHeight="1">
      <c r="BB180" s="443"/>
      <c r="BC180" s="443"/>
    </row>
    <row r="181" spans="54:55" ht="15.95" hidden="1" customHeight="1">
      <c r="BB181" s="443"/>
      <c r="BC181" s="443"/>
    </row>
    <row r="182" spans="54:55" ht="15.95" hidden="1" customHeight="1">
      <c r="BB182" s="443"/>
      <c r="BC182" s="443"/>
    </row>
    <row r="183" spans="54:55" ht="15.95" hidden="1" customHeight="1">
      <c r="BB183" s="443"/>
      <c r="BC183" s="443"/>
    </row>
    <row r="184" spans="54:55" ht="15.95" hidden="1" customHeight="1">
      <c r="BB184" s="443"/>
      <c r="BC184" s="443"/>
    </row>
    <row r="185" spans="54:55" ht="15.95" hidden="1" customHeight="1">
      <c r="BB185" s="443"/>
      <c r="BC185" s="443"/>
    </row>
    <row r="186" spans="54:55" ht="15.95" hidden="1" customHeight="1">
      <c r="BB186" s="443"/>
      <c r="BC186" s="443"/>
    </row>
    <row r="187" spans="54:55" ht="15.95" hidden="1" customHeight="1">
      <c r="BB187" s="443"/>
      <c r="BC187" s="443"/>
    </row>
    <row r="188" spans="54:55" ht="15.95" hidden="1" customHeight="1">
      <c r="BB188" s="443"/>
      <c r="BC188" s="443"/>
    </row>
    <row r="189" spans="54:55" ht="15.95" hidden="1" customHeight="1">
      <c r="BB189" s="443"/>
      <c r="BC189" s="443"/>
    </row>
    <row r="190" spans="54:55" ht="15.95" hidden="1" customHeight="1">
      <c r="BB190" s="443"/>
      <c r="BC190" s="443"/>
    </row>
    <row r="191" spans="54:55" ht="15.95" hidden="1" customHeight="1">
      <c r="BB191" s="443"/>
      <c r="BC191" s="443"/>
    </row>
    <row r="192" spans="54:55" ht="15.95" hidden="1" customHeight="1">
      <c r="BB192" s="443"/>
      <c r="BC192" s="443"/>
    </row>
    <row r="193" spans="1:58" ht="15.95" hidden="1" customHeight="1">
      <c r="BB193" s="443"/>
      <c r="BC193" s="443"/>
    </row>
    <row r="194" spans="1:58" ht="15.95" hidden="1" customHeight="1">
      <c r="BB194" s="443"/>
      <c r="BC194" s="443"/>
    </row>
    <row r="195" spans="1:58" ht="15.95" hidden="1" customHeight="1">
      <c r="BB195" s="443"/>
      <c r="BC195" s="443"/>
    </row>
    <row r="196" spans="1:58" ht="15.95" hidden="1" customHeight="1">
      <c r="BB196" s="443"/>
      <c r="BC196" s="443"/>
    </row>
    <row r="197" spans="1:58" ht="15.95" hidden="1" customHeight="1">
      <c r="BB197" s="443"/>
      <c r="BC197" s="443"/>
    </row>
    <row r="198" spans="1:58" ht="15.95" hidden="1" customHeight="1">
      <c r="BB198" s="443"/>
      <c r="BC198" s="443"/>
    </row>
    <row r="199" spans="1:58" ht="15.95" hidden="1" customHeight="1">
      <c r="BB199" s="443"/>
      <c r="BC199" s="443"/>
    </row>
    <row r="200" spans="1:58"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c r="BB200" s="851">
        <f>SUM(BB18:BB199)</f>
        <v>0</v>
      </c>
      <c r="BC200" s="851">
        <f>SUM(BC18:BC199)</f>
        <v>0</v>
      </c>
      <c r="BF200" s="847">
        <f>SUM(BF18:BF199)</f>
        <v>0</v>
      </c>
    </row>
    <row r="201" spans="1:58"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c r="BB201" s="852"/>
      <c r="BC201" s="852"/>
      <c r="BF201" s="848"/>
    </row>
    <row r="202" spans="1:58"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CPZUvClsZQ5TH2fuBbGcS/iwlIDg78Ulh8HJCFjJOJx1t4EJ2h+DkCM8n1p9CtpQhRdFgZWOU7I1pNjpWNhUQQ==" saltValue="83iExmb3T2/ycbJv6SDsNQ==" spinCount="100000" sheet="1" objects="1" scenarios="1" selectLockedCells="1"/>
  <mergeCells count="195">
    <mergeCell ref="BQ16:BQ17"/>
    <mergeCell ref="BQ18:BQ19"/>
    <mergeCell ref="M200:AG201"/>
    <mergeCell ref="AA16:AC17"/>
    <mergeCell ref="V16:Z16"/>
    <mergeCell ref="Q16:U16"/>
    <mergeCell ref="AA18:AC19"/>
    <mergeCell ref="AD18:AE19"/>
    <mergeCell ref="O16:P17"/>
    <mergeCell ref="O18:P19"/>
    <mergeCell ref="K18:N19"/>
    <mergeCell ref="AF18:AG19"/>
    <mergeCell ref="AF16:AG17"/>
    <mergeCell ref="AD16:AE17"/>
    <mergeCell ref="AK18:AM19"/>
    <mergeCell ref="AN18:AQ19"/>
    <mergeCell ref="Q18:R19"/>
    <mergeCell ref="S18:U19"/>
    <mergeCell ref="AH16:AJ17"/>
    <mergeCell ref="BF18:BF19"/>
    <mergeCell ref="BG18:BG19"/>
    <mergeCell ref="BH18:BH19"/>
    <mergeCell ref="BI18:BI19"/>
    <mergeCell ref="Q17:R17"/>
    <mergeCell ref="BP16:BP17"/>
    <mergeCell ref="BP18:BP19"/>
    <mergeCell ref="X18:Z19"/>
    <mergeCell ref="V18:W19"/>
    <mergeCell ref="AK16:AM17"/>
    <mergeCell ref="AN16:AQ17"/>
    <mergeCell ref="BK18:BK19"/>
    <mergeCell ref="BA18:BA19"/>
    <mergeCell ref="BB18:BB19"/>
    <mergeCell ref="BC18:BC19"/>
    <mergeCell ref="BD18:BD19"/>
    <mergeCell ref="AY18:AY19"/>
    <mergeCell ref="AZ18:AZ19"/>
    <mergeCell ref="AY16:AY17"/>
    <mergeCell ref="AZ16:AZ17"/>
    <mergeCell ref="BA16:BA17"/>
    <mergeCell ref="BB16:BB17"/>
    <mergeCell ref="BC16:BC17"/>
    <mergeCell ref="BD16:BD17"/>
    <mergeCell ref="BK16:BK17"/>
    <mergeCell ref="BM16:BM17"/>
    <mergeCell ref="BN16:BN17"/>
    <mergeCell ref="BO16:BO17"/>
    <mergeCell ref="BJ18:BJ19"/>
    <mergeCell ref="BM18:BM19"/>
    <mergeCell ref="BN18:BN19"/>
    <mergeCell ref="BO18:BO19"/>
    <mergeCell ref="A5:E6"/>
    <mergeCell ref="AQ5:AU6"/>
    <mergeCell ref="A7:E7"/>
    <mergeCell ref="AQ7:AU7"/>
    <mergeCell ref="A8:E8"/>
    <mergeCell ref="AQ8:AU8"/>
    <mergeCell ref="AH18:AJ19"/>
    <mergeCell ref="S17:U17"/>
    <mergeCell ref="V17:W17"/>
    <mergeCell ref="X17:Z17"/>
    <mergeCell ref="BE16:BE17"/>
    <mergeCell ref="BH16:BH17"/>
    <mergeCell ref="BI16:BI17"/>
    <mergeCell ref="BJ16:BJ17"/>
    <mergeCell ref="Q20:R21"/>
    <mergeCell ref="C20:F21"/>
    <mergeCell ref="AN20:AQ21"/>
    <mergeCell ref="F1:I3"/>
    <mergeCell ref="J1:M3"/>
    <mergeCell ref="O1:AE3"/>
    <mergeCell ref="AL1:AO3"/>
    <mergeCell ref="BL16:BL17"/>
    <mergeCell ref="BF16:BF17"/>
    <mergeCell ref="BG16:BG17"/>
    <mergeCell ref="BL18:BL19"/>
    <mergeCell ref="BE18:BE19"/>
    <mergeCell ref="AI13:AQ14"/>
    <mergeCell ref="R12:U13"/>
    <mergeCell ref="V12:Y13"/>
    <mergeCell ref="Z12:AC13"/>
    <mergeCell ref="R14:U14"/>
    <mergeCell ref="V14:Y14"/>
    <mergeCell ref="Z14:AC14"/>
    <mergeCell ref="AT1:AW3"/>
    <mergeCell ref="AP1:AS3"/>
    <mergeCell ref="A9:AW10"/>
    <mergeCell ref="AZ20:AZ21"/>
    <mergeCell ref="BA20:BA21"/>
    <mergeCell ref="BB20:BB21"/>
    <mergeCell ref="BC20:BC21"/>
    <mergeCell ref="BD20:BD21"/>
    <mergeCell ref="AY20:AY21"/>
    <mergeCell ref="S20:U21"/>
    <mergeCell ref="V20:W21"/>
    <mergeCell ref="X20:Z21"/>
    <mergeCell ref="AA20:AC21"/>
    <mergeCell ref="AD20:AE21"/>
    <mergeCell ref="BG22:BG23"/>
    <mergeCell ref="BJ20:BJ21"/>
    <mergeCell ref="BK20:BK21"/>
    <mergeCell ref="BL20:BL21"/>
    <mergeCell ref="BE20:BE21"/>
    <mergeCell ref="BF20:BF21"/>
    <mergeCell ref="BG20:BG21"/>
    <mergeCell ref="BH20:BH21"/>
    <mergeCell ref="BI20:BI21"/>
    <mergeCell ref="Q22:R23"/>
    <mergeCell ref="S22:U23"/>
    <mergeCell ref="V22:W23"/>
    <mergeCell ref="AF20:AG21"/>
    <mergeCell ref="AH20:AJ21"/>
    <mergeCell ref="AK20:AM21"/>
    <mergeCell ref="BO20:BO21"/>
    <mergeCell ref="BP20:BP21"/>
    <mergeCell ref="BQ20:BQ21"/>
    <mergeCell ref="BM20:BM21"/>
    <mergeCell ref="BN20:BN21"/>
    <mergeCell ref="BM22:BM23"/>
    <mergeCell ref="BN22:BN23"/>
    <mergeCell ref="BO22:BO23"/>
    <mergeCell ref="BP22:BP23"/>
    <mergeCell ref="BQ22:BQ23"/>
    <mergeCell ref="BH22:BH23"/>
    <mergeCell ref="BI22:BI23"/>
    <mergeCell ref="BJ22:BJ23"/>
    <mergeCell ref="BK22:BK23"/>
    <mergeCell ref="BL22:BL23"/>
    <mergeCell ref="BC22:BC23"/>
    <mergeCell ref="BD22:BD23"/>
    <mergeCell ref="BE22:BE23"/>
    <mergeCell ref="B24:B25"/>
    <mergeCell ref="C24:F25"/>
    <mergeCell ref="G24:J25"/>
    <mergeCell ref="K24:N25"/>
    <mergeCell ref="O24:P25"/>
    <mergeCell ref="C22:F23"/>
    <mergeCell ref="C16:F17"/>
    <mergeCell ref="G18:J19"/>
    <mergeCell ref="G20:J21"/>
    <mergeCell ref="G22:J23"/>
    <mergeCell ref="G16:J17"/>
    <mergeCell ref="B18:B19"/>
    <mergeCell ref="K16:N17"/>
    <mergeCell ref="C18:F19"/>
    <mergeCell ref="B22:B23"/>
    <mergeCell ref="K22:N23"/>
    <mergeCell ref="O22:P23"/>
    <mergeCell ref="B20:B21"/>
    <mergeCell ref="K20:N21"/>
    <mergeCell ref="O20:P21"/>
    <mergeCell ref="AY22:AY23"/>
    <mergeCell ref="AZ22:AZ23"/>
    <mergeCell ref="BA22:BA23"/>
    <mergeCell ref="BB22:BB23"/>
    <mergeCell ref="X22:Z23"/>
    <mergeCell ref="BG24:BG25"/>
    <mergeCell ref="BH24:BH25"/>
    <mergeCell ref="AY24:AY25"/>
    <mergeCell ref="AZ24:AZ25"/>
    <mergeCell ref="BA24:BA25"/>
    <mergeCell ref="BB24:BB25"/>
    <mergeCell ref="BC24:BC25"/>
    <mergeCell ref="AD24:AE25"/>
    <mergeCell ref="AF24:AG25"/>
    <mergeCell ref="AH24:AJ25"/>
    <mergeCell ref="AK24:AM25"/>
    <mergeCell ref="AN24:AQ25"/>
    <mergeCell ref="AA22:AC23"/>
    <mergeCell ref="AD22:AE23"/>
    <mergeCell ref="AF22:AG23"/>
    <mergeCell ref="AH22:AJ23"/>
    <mergeCell ref="AK22:AM23"/>
    <mergeCell ref="AN22:AQ23"/>
    <mergeCell ref="BF22:BF23"/>
    <mergeCell ref="BN24:BN25"/>
    <mergeCell ref="BO24:BO25"/>
    <mergeCell ref="BP24:BP25"/>
    <mergeCell ref="BQ24:BQ25"/>
    <mergeCell ref="BI24:BI25"/>
    <mergeCell ref="BJ24:BJ25"/>
    <mergeCell ref="BK24:BK25"/>
    <mergeCell ref="BL24:BL25"/>
    <mergeCell ref="BM24:BM25"/>
    <mergeCell ref="BF200:BF201"/>
    <mergeCell ref="BB200:BB201"/>
    <mergeCell ref="BC200:BC201"/>
    <mergeCell ref="BD24:BD25"/>
    <mergeCell ref="BE24:BE25"/>
    <mergeCell ref="BF24:BF25"/>
    <mergeCell ref="Q24:R25"/>
    <mergeCell ref="S24:U25"/>
    <mergeCell ref="V24:W25"/>
    <mergeCell ref="X24:Z25"/>
    <mergeCell ref="AA24:AC25"/>
  </mergeCells>
  <conditionalFormatting sqref="K18 K20 K22 K24">
    <cfRule type="expression" dxfId="131" priority="3">
      <formula>IF(ISNUMBER(SEARCH("Linear",BA18)),TRUE,FALSE)</formula>
    </cfRule>
  </conditionalFormatting>
  <conditionalFormatting sqref="O18 O20 O22 O24">
    <cfRule type="expression" dxfId="130" priority="861">
      <formula>AND(ISBLANK($K$18)=FALSE,OR(ISBLANK($O$18)=TRUE,$O$18=""))</formula>
    </cfRule>
  </conditionalFormatting>
  <conditionalFormatting sqref="AN18:AQ25">
    <cfRule type="expression" dxfId="129" priority="1" stopIfTrue="1">
      <formula>ISNUMBER($AN18)=FALSE</formula>
    </cfRule>
    <cfRule type="expression" dxfId="128" priority="4">
      <formula>$AN18 &lt;&gt; $BH18</formula>
    </cfRule>
  </conditionalFormatting>
  <conditionalFormatting sqref="AQ8:AW8">
    <cfRule type="expression" dxfId="127" priority="1608">
      <formula>IF($AQ$8=PROJSTATMEASURE,FALSE,TRUE)</formula>
    </cfRule>
  </conditionalFormatting>
  <dataValidations count="6">
    <dataValidation type="whole" allowBlank="1" showInputMessage="1" error="Please enter a numerical value" sqref="V18:W25" xr:uid="{800E7351-93AD-460D-9CF9-D4CF32DAB434}">
      <formula1>0</formula1>
      <formula2>999999</formula2>
    </dataValidation>
    <dataValidation type="decimal" operator="lessThanOrEqual" allowBlank="1" showInputMessage="1" showErrorMessage="1" prompt="Annual Operating Hours of Lighting" sqref="O18:P25" xr:uid="{61CBE5AA-E7FD-4DA0-B967-603B2D648D6C}">
      <formula1>8760</formula1>
    </dataValidation>
    <dataValidation type="list" allowBlank="1" showInputMessage="1" sqref="BE18:BE25" xr:uid="{C45F4E5D-99D1-4618-8F0E-8CE10416728F}">
      <formula1>ENDUSECAT</formula1>
    </dataValidation>
    <dataValidation allowBlank="1" showInputMessage="1" sqref="C18 C20 C22 C24" xr:uid="{DD7778EE-BA6F-4379-A85C-B655386BD44A}"/>
    <dataValidation type="decimal" allowBlank="1" showInputMessage="1" error="Please enter a numerical value" sqref="AD18:AG25" xr:uid="{B4600D0E-0B1F-4F5F-92AC-AF71E0B8E7CA}">
      <formula1>0</formula1>
      <formula2>999999999</formula2>
    </dataValidation>
    <dataValidation type="whole" operator="greaterThan" allowBlank="1" showErrorMessage="1" errorTitle="Invalid Entry" error="This value must be a whole number greater than zero."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K18:N25" xr:uid="{A71976AA-42F2-4C8C-98CB-4E5A12A2F668}">
      <formula1>0</formula1>
    </dataValidation>
  </dataValidations>
  <hyperlinks>
    <hyperlink ref="B202" r:id="rId1" display="businessrebates@evergy.com" xr:uid="{FEA68CCD-014A-4F5E-ABCB-3283FBFBB256}"/>
  </hyperlinks>
  <printOptions horizontalCentered="1"/>
  <pageMargins left="0" right="0" top="0" bottom="0" header="0" footer="0"/>
  <pageSetup scale="4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FBB96-D0FE-4A25-92D1-BDBBB3AFFD9B}">
  <sheetPr codeName="Sheet88">
    <tabColor theme="9" tint="0.59999389629810485"/>
    <pageSetUpPr fitToPage="1"/>
  </sheetPr>
  <dimension ref="A1:BY204"/>
  <sheetViews>
    <sheetView showGridLines="0" showRowColHeaders="0" zoomScale="85" zoomScaleNormal="85" workbookViewId="0">
      <selection activeCell="C18" sqref="C18:I19"/>
    </sheetView>
  </sheetViews>
  <sheetFormatPr defaultColWidth="0" defaultRowHeight="0" customHeight="1" zeroHeight="1"/>
  <cols>
    <col min="1" max="49" width="4.7109375" customWidth="1"/>
    <col min="50" max="50" width="4.7109375" hidden="1"/>
    <col min="51" max="56" width="10" hidden="1"/>
    <col min="57" max="57" width="14.7109375" hidden="1"/>
    <col min="58" max="66" width="10" hidden="1"/>
    <col min="67" max="67" width="7" hidden="1"/>
    <col min="68" max="68" width="7.85546875" hidden="1"/>
    <col min="69" max="69" width="9.28515625" hidden="1"/>
    <col min="70" max="71" width="13.7109375" hidden="1"/>
    <col min="72" max="72" width="10" hidden="1"/>
    <col min="73" max="76" width="4.7109375" hidden="1"/>
    <col min="77" max="77" width="9.140625" hidden="1"/>
    <col min="78" max="16384" width="4.7109375" hidden="1"/>
  </cols>
  <sheetData>
    <row r="1" spans="1:72"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72"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72"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72" ht="15.95" customHeight="1">
      <c r="B4" s="199"/>
      <c r="C4" s="199"/>
      <c r="D4" s="199"/>
      <c r="E4" s="199"/>
    </row>
    <row r="5" spans="1:72" ht="15.95" customHeight="1">
      <c r="A5" s="667">
        <f>INCENTOTAL_N</f>
        <v>0</v>
      </c>
      <c r="B5" s="667"/>
      <c r="C5" s="667"/>
      <c r="D5" s="667"/>
      <c r="E5" s="667"/>
      <c r="AQ5" s="668">
        <f ca="1">PROGRESSSTATUS_N</f>
        <v>0</v>
      </c>
      <c r="AR5" s="668"/>
      <c r="AS5" s="668"/>
      <c r="AT5" s="668"/>
      <c r="AU5" s="668"/>
      <c r="AV5" s="557"/>
      <c r="AW5" s="557"/>
      <c r="AY5" s="21"/>
      <c r="AZ5" s="110" t="s">
        <v>844</v>
      </c>
      <c r="BA5" s="110" t="s">
        <v>198</v>
      </c>
    </row>
    <row r="6" spans="1:72" ht="15.95" customHeight="1">
      <c r="A6" s="667"/>
      <c r="B6" s="667"/>
      <c r="C6" s="667"/>
      <c r="D6" s="667"/>
      <c r="E6" s="667"/>
      <c r="AQ6" s="668"/>
      <c r="AR6" s="668"/>
      <c r="AS6" s="668"/>
      <c r="AT6" s="668"/>
      <c r="AU6" s="668"/>
      <c r="AV6" s="557"/>
      <c r="AW6" s="557"/>
      <c r="AY6" s="109" t="s">
        <v>26</v>
      </c>
      <c r="AZ6" s="108" t="str">
        <f>CBLIGHT_N</f>
        <v>NA</v>
      </c>
      <c r="BA6" s="176" t="str">
        <f>PAYLIGHT_N</f>
        <v>NA</v>
      </c>
    </row>
    <row r="7" spans="1:72" ht="15.95" customHeight="1">
      <c r="A7" s="665" t="s">
        <v>20</v>
      </c>
      <c r="B7" s="665"/>
      <c r="C7" s="665"/>
      <c r="D7" s="665"/>
      <c r="E7" s="665"/>
      <c r="AQ7" s="665" t="s">
        <v>179</v>
      </c>
      <c r="AR7" s="665"/>
      <c r="AS7" s="665"/>
      <c r="AT7" s="665"/>
      <c r="AU7" s="665"/>
      <c r="AV7" s="556"/>
      <c r="AW7" s="556"/>
      <c r="AY7" s="109" t="s">
        <v>50</v>
      </c>
      <c r="AZ7" s="108" t="str">
        <f>CBCUST_N</f>
        <v>NA</v>
      </c>
      <c r="BA7" s="176" t="str">
        <f>PAYCUST_N</f>
        <v>NA</v>
      </c>
    </row>
    <row r="8" spans="1:72" ht="15.95" customHeight="1" thickBot="1">
      <c r="A8" s="665"/>
      <c r="B8" s="665"/>
      <c r="C8" s="665"/>
      <c r="D8" s="665"/>
      <c r="E8" s="665"/>
      <c r="AQ8" s="674" t="str">
        <f ca="1">PROJSTATUS_N</f>
        <v>Enter Measures</v>
      </c>
      <c r="AR8" s="674"/>
      <c r="AS8" s="674"/>
      <c r="AT8" s="674"/>
      <c r="AU8" s="674"/>
      <c r="AV8" s="558"/>
      <c r="AW8" s="558"/>
      <c r="AY8" s="109" t="s">
        <v>273</v>
      </c>
      <c r="AZ8" s="108" t="str">
        <f>CBPROJ_N</f>
        <v>NA</v>
      </c>
      <c r="BA8" s="176" t="str">
        <f>PAYPROJ_N</f>
        <v>NA</v>
      </c>
    </row>
    <row r="9" spans="1:72" s="79" customFormat="1" ht="15.95" customHeight="1">
      <c r="A9" s="101"/>
      <c r="B9" s="101"/>
      <c r="C9" s="101"/>
      <c r="D9" s="101"/>
      <c r="E9" s="103"/>
      <c r="F9" s="102"/>
      <c r="G9" s="925" t="str">
        <f>N3S4</f>
        <v>HVAC</v>
      </c>
      <c r="H9" s="925"/>
      <c r="I9" s="925"/>
      <c r="J9" s="925"/>
      <c r="K9" s="930" t="str">
        <f>N3S6</f>
        <v>Water Heating / Food Services</v>
      </c>
      <c r="L9" s="931"/>
      <c r="M9" s="931"/>
      <c r="N9" s="931"/>
      <c r="O9" s="927" t="str">
        <f>N3S5</f>
        <v>Refrigeration</v>
      </c>
      <c r="P9" s="928"/>
      <c r="Q9" s="928"/>
      <c r="R9" s="928"/>
      <c r="S9" s="101"/>
      <c r="T9" s="101"/>
      <c r="U9" s="101"/>
      <c r="V9" s="101"/>
      <c r="W9" s="101"/>
      <c r="X9" s="101"/>
      <c r="Y9" s="101"/>
      <c r="Z9" s="101"/>
      <c r="AA9" s="101"/>
      <c r="AB9" s="101"/>
      <c r="AC9" s="101"/>
      <c r="AD9" s="101"/>
      <c r="AE9" s="101"/>
      <c r="AF9" s="101"/>
      <c r="AG9" s="101"/>
      <c r="AH9" s="101"/>
      <c r="AI9" s="101"/>
      <c r="AJ9" s="101"/>
      <c r="AK9" s="101"/>
      <c r="AL9" s="101"/>
      <c r="AM9" s="101"/>
      <c r="AN9" s="101"/>
      <c r="AO9" s="103"/>
      <c r="AP9" s="103"/>
      <c r="AQ9" s="101"/>
      <c r="AR9" s="101"/>
      <c r="AT9" s="101"/>
      <c r="AU9" s="101"/>
      <c r="AV9" s="101"/>
      <c r="AW9" s="101"/>
      <c r="AX9"/>
      <c r="AY9" s="107" t="s">
        <v>828</v>
      </c>
      <c r="AZ9" s="399" t="str">
        <f ca="1">NEWCONCODE</f>
        <v>IECC 2012</v>
      </c>
      <c r="BA9"/>
    </row>
    <row r="10" spans="1:72" s="79" customFormat="1" ht="15.95" customHeight="1">
      <c r="B10" s="80"/>
      <c r="C10" s="80"/>
      <c r="D10" s="80"/>
      <c r="E10"/>
      <c r="G10" s="926"/>
      <c r="H10" s="926"/>
      <c r="I10" s="926"/>
      <c r="J10" s="926"/>
      <c r="K10" s="932"/>
      <c r="L10" s="932"/>
      <c r="M10" s="932"/>
      <c r="N10" s="932"/>
      <c r="O10" s="929"/>
      <c r="P10" s="929"/>
      <c r="Q10" s="929"/>
      <c r="R10" s="929"/>
      <c r="AC10"/>
      <c r="AD10"/>
      <c r="AE10"/>
      <c r="AF10"/>
      <c r="AG10"/>
      <c r="AH10"/>
      <c r="AI10"/>
      <c r="AJ10"/>
      <c r="AK10"/>
      <c r="AL10"/>
      <c r="AM10"/>
      <c r="AN10" s="80"/>
      <c r="AO10"/>
      <c r="AQ10" s="80"/>
      <c r="AR10" s="80"/>
      <c r="AX10"/>
    </row>
    <row r="11" spans="1:72" ht="15.95" customHeight="1">
      <c r="B11" s="97"/>
      <c r="C11" s="97"/>
      <c r="D11" s="97"/>
      <c r="G11" s="926"/>
      <c r="H11" s="926"/>
      <c r="I11" s="926"/>
      <c r="J11" s="926"/>
      <c r="K11" s="932"/>
      <c r="L11" s="932"/>
      <c r="M11" s="932"/>
      <c r="N11" s="932"/>
      <c r="O11" s="929"/>
      <c r="P11" s="929"/>
      <c r="Q11" s="929"/>
      <c r="R11" s="929"/>
      <c r="AN11" s="97"/>
      <c r="AQ11" s="97"/>
      <c r="AR11" s="97"/>
    </row>
    <row r="12" spans="1:72" ht="15.95" customHeight="1">
      <c r="A12" s="77"/>
      <c r="B12" s="77"/>
      <c r="C12" s="77"/>
      <c r="D12" s="77"/>
      <c r="E12" s="77"/>
      <c r="R12" s="789">
        <f>SUM(AR18:AU199)</f>
        <v>0</v>
      </c>
      <c r="S12" s="789"/>
      <c r="T12" s="789"/>
      <c r="U12" s="789"/>
      <c r="V12" s="789">
        <f>SUM(AY18:AY199)</f>
        <v>0</v>
      </c>
      <c r="W12" s="789"/>
      <c r="X12" s="789"/>
      <c r="Y12" s="789"/>
      <c r="Z12" s="790">
        <f>SUM(AO18:AQ199)</f>
        <v>0</v>
      </c>
      <c r="AA12" s="790"/>
      <c r="AB12" s="790"/>
      <c r="AC12" s="790"/>
      <c r="AP12" s="456"/>
    </row>
    <row r="13" spans="1:72" ht="15.95" customHeight="1">
      <c r="A13" s="77"/>
      <c r="B13" s="77"/>
      <c r="R13" s="789"/>
      <c r="S13" s="789"/>
      <c r="T13" s="789"/>
      <c r="U13" s="789"/>
      <c r="V13" s="789"/>
      <c r="W13" s="789"/>
      <c r="X13" s="789"/>
      <c r="Y13" s="789"/>
      <c r="Z13" s="790"/>
      <c r="AA13" s="790"/>
      <c r="AB13" s="790"/>
      <c r="AC13" s="790"/>
      <c r="AI13" s="933" t="str">
        <f>IF(IFERROR(MATCH("100% Total Cost", BJ:BJ, 0), FALSE), "The incentive for one or more measures is capped due to measure cost.", "")</f>
        <v/>
      </c>
      <c r="AJ13" s="933"/>
      <c r="AK13" s="933"/>
      <c r="AL13" s="933"/>
      <c r="AM13" s="933"/>
      <c r="AN13" s="933"/>
      <c r="AO13" s="933"/>
      <c r="AP13" s="933"/>
      <c r="AQ13" s="933"/>
      <c r="BA13" t="s">
        <v>2387</v>
      </c>
    </row>
    <row r="14" spans="1:72" ht="15.95" customHeight="1">
      <c r="R14" s="793" t="s">
        <v>1204</v>
      </c>
      <c r="S14" s="793"/>
      <c r="T14" s="793"/>
      <c r="U14" s="793"/>
      <c r="V14" s="793" t="s">
        <v>4</v>
      </c>
      <c r="W14" s="793"/>
      <c r="X14" s="793"/>
      <c r="Y14" s="793"/>
      <c r="Z14" s="793" t="s">
        <v>776</v>
      </c>
      <c r="AA14" s="793"/>
      <c r="AB14" s="793"/>
      <c r="AC14" s="793"/>
      <c r="AI14" s="933"/>
      <c r="AJ14" s="933"/>
      <c r="AK14" s="933"/>
      <c r="AL14" s="933"/>
      <c r="AM14" s="933"/>
      <c r="AN14" s="933"/>
      <c r="AO14" s="933"/>
      <c r="AP14" s="933"/>
      <c r="AQ14" s="933"/>
      <c r="BF14" s="48" t="s">
        <v>2329</v>
      </c>
      <c r="BG14" s="48" t="s">
        <v>2329</v>
      </c>
      <c r="BK14" s="48" t="s">
        <v>2329</v>
      </c>
    </row>
    <row r="15" spans="1:72" ht="15.95" customHeight="1"/>
    <row r="16" spans="1:72" ht="15.95" customHeight="1">
      <c r="C16" s="921" t="s">
        <v>1226</v>
      </c>
      <c r="D16" s="921"/>
      <c r="E16" s="921"/>
      <c r="F16" s="921"/>
      <c r="G16" s="921"/>
      <c r="H16" s="921"/>
      <c r="I16" s="921"/>
      <c r="J16" s="923" t="s">
        <v>2231</v>
      </c>
      <c r="K16" s="923"/>
      <c r="L16" s="923"/>
      <c r="M16" s="923"/>
      <c r="N16" s="923"/>
      <c r="O16" s="923"/>
      <c r="P16" s="923" t="s">
        <v>2232</v>
      </c>
      <c r="Q16" s="923"/>
      <c r="R16" s="923"/>
      <c r="S16" s="923"/>
      <c r="T16" s="923"/>
      <c r="U16" s="923"/>
      <c r="V16" s="794" t="s">
        <v>2210</v>
      </c>
      <c r="W16" s="794"/>
      <c r="X16" s="794" t="s">
        <v>2211</v>
      </c>
      <c r="Y16" s="794"/>
      <c r="Z16" s="794"/>
      <c r="AA16" s="794" t="s">
        <v>2212</v>
      </c>
      <c r="AB16" s="794"/>
      <c r="AC16" s="794"/>
      <c r="AD16" s="794"/>
      <c r="AE16" s="923" t="s">
        <v>814</v>
      </c>
      <c r="AF16" s="923"/>
      <c r="AG16" s="923"/>
      <c r="AH16" s="923"/>
      <c r="AI16" s="794" t="s">
        <v>1227</v>
      </c>
      <c r="AJ16" s="794"/>
      <c r="AK16" s="794"/>
      <c r="AL16" s="794"/>
      <c r="AM16" s="794" t="s">
        <v>1205</v>
      </c>
      <c r="AN16" s="794"/>
      <c r="AO16" s="794" t="s">
        <v>725</v>
      </c>
      <c r="AP16" s="794"/>
      <c r="AQ16" s="794"/>
      <c r="AR16" s="794" t="s">
        <v>20</v>
      </c>
      <c r="AS16" s="794"/>
      <c r="AT16" s="794"/>
      <c r="AU16" s="794"/>
      <c r="AY16" s="791" t="s">
        <v>823</v>
      </c>
      <c r="AZ16" s="791" t="s">
        <v>733</v>
      </c>
      <c r="BA16" s="958" t="s">
        <v>819</v>
      </c>
      <c r="BB16" s="958"/>
      <c r="BC16" s="791" t="s">
        <v>821</v>
      </c>
      <c r="BD16" s="791" t="s">
        <v>822</v>
      </c>
      <c r="BE16" s="791" t="s">
        <v>836</v>
      </c>
      <c r="BF16" s="958" t="s">
        <v>820</v>
      </c>
      <c r="BG16" s="958"/>
      <c r="BH16" s="791" t="s">
        <v>2107</v>
      </c>
      <c r="BI16" s="791" t="s">
        <v>22</v>
      </c>
      <c r="BJ16" s="791" t="s">
        <v>837</v>
      </c>
      <c r="BK16" s="791" t="s">
        <v>185</v>
      </c>
      <c r="BL16" s="798" t="s">
        <v>25</v>
      </c>
      <c r="BM16" s="798" t="s">
        <v>1324</v>
      </c>
      <c r="BN16" s="798" t="s">
        <v>1998</v>
      </c>
      <c r="BO16" s="798" t="s">
        <v>1999</v>
      </c>
      <c r="BP16" s="798" t="s">
        <v>2000</v>
      </c>
      <c r="BQ16" s="798" t="s">
        <v>2017</v>
      </c>
      <c r="BR16" s="798" t="s">
        <v>1365</v>
      </c>
      <c r="BS16" s="798" t="s">
        <v>832</v>
      </c>
      <c r="BT16" s="798" t="s">
        <v>1903</v>
      </c>
    </row>
    <row r="17" spans="1:72" ht="15.95" customHeight="1" thickBot="1">
      <c r="C17" s="922"/>
      <c r="D17" s="922"/>
      <c r="E17" s="922"/>
      <c r="F17" s="922"/>
      <c r="G17" s="922"/>
      <c r="H17" s="922"/>
      <c r="I17" s="922"/>
      <c r="J17" s="957" t="s">
        <v>1231</v>
      </c>
      <c r="K17" s="957"/>
      <c r="L17" s="957" t="s">
        <v>828</v>
      </c>
      <c r="M17" s="957"/>
      <c r="N17" s="924" t="s">
        <v>1230</v>
      </c>
      <c r="O17" s="924"/>
      <c r="P17" s="957" t="s">
        <v>1231</v>
      </c>
      <c r="Q17" s="957"/>
      <c r="R17" s="957" t="s">
        <v>828</v>
      </c>
      <c r="S17" s="957"/>
      <c r="T17" s="924" t="s">
        <v>1230</v>
      </c>
      <c r="U17" s="924"/>
      <c r="V17" s="795"/>
      <c r="W17" s="795"/>
      <c r="X17" s="795"/>
      <c r="Y17" s="795"/>
      <c r="Z17" s="795"/>
      <c r="AA17" s="795"/>
      <c r="AB17" s="795"/>
      <c r="AC17" s="795"/>
      <c r="AD17" s="795"/>
      <c r="AE17" s="924" t="s">
        <v>812</v>
      </c>
      <c r="AF17" s="924"/>
      <c r="AG17" s="924" t="s">
        <v>813</v>
      </c>
      <c r="AH17" s="924"/>
      <c r="AI17" s="795"/>
      <c r="AJ17" s="795"/>
      <c r="AK17" s="795"/>
      <c r="AL17" s="795"/>
      <c r="AM17" s="795"/>
      <c r="AN17" s="795"/>
      <c r="AO17" s="795"/>
      <c r="AP17" s="795"/>
      <c r="AQ17" s="795"/>
      <c r="AR17" s="795"/>
      <c r="AS17" s="795"/>
      <c r="AT17" s="795"/>
      <c r="AU17" s="795"/>
      <c r="AY17" s="792"/>
      <c r="AZ17" s="792"/>
      <c r="BA17" s="98" t="s">
        <v>817</v>
      </c>
      <c r="BB17" s="98" t="s">
        <v>818</v>
      </c>
      <c r="BC17" s="792"/>
      <c r="BD17" s="792" t="s">
        <v>822</v>
      </c>
      <c r="BE17" s="792"/>
      <c r="BF17" s="98" t="s">
        <v>817</v>
      </c>
      <c r="BG17" s="98" t="s">
        <v>1011</v>
      </c>
      <c r="BH17" s="792"/>
      <c r="BI17" s="792"/>
      <c r="BJ17" s="792"/>
      <c r="BK17" s="792"/>
      <c r="BL17" s="799"/>
      <c r="BM17" s="799"/>
      <c r="BN17" s="799"/>
      <c r="BO17" s="799"/>
      <c r="BP17" s="799"/>
      <c r="BQ17" s="799"/>
      <c r="BR17" s="799"/>
      <c r="BS17" s="799"/>
      <c r="BT17" s="799"/>
    </row>
    <row r="18" spans="1:72" ht="15.95" customHeight="1">
      <c r="B18" s="800">
        <v>1</v>
      </c>
      <c r="C18" s="934"/>
      <c r="D18" s="889"/>
      <c r="E18" s="889"/>
      <c r="F18" s="889"/>
      <c r="G18" s="889"/>
      <c r="H18" s="889"/>
      <c r="I18" s="935"/>
      <c r="J18" s="939" t="str">
        <f>IF(C18="","",INDEX(STDHVAC_N[Eff Unit 1],MATCH(C18,STDHVAC_N[Measure Name],0)))</f>
        <v/>
      </c>
      <c r="K18" s="940"/>
      <c r="L18" s="943" t="str">
        <f>IF(C18="","",INDEX(STDHVAC_N[Base Efficiency 1],MATCH(C18,STDHVAC_N[Measure Name],0)))</f>
        <v/>
      </c>
      <c r="M18" s="943"/>
      <c r="N18" s="945"/>
      <c r="O18" s="946"/>
      <c r="P18" s="939" t="str">
        <f>IF(C18="","",INDEX(STDHVAC_N[Eff Unit 2],MATCH(C18,STDHVAC_N[Measure Name],0)))</f>
        <v/>
      </c>
      <c r="Q18" s="940"/>
      <c r="R18" s="943" t="str">
        <f>IF(C18="","",INDEX(STDHVAC_N[Base Efficiency 2],MATCH(C18,STDHVAC_N[Measure Name],0)))</f>
        <v/>
      </c>
      <c r="S18" s="943"/>
      <c r="T18" s="949" t="str">
        <f t="shared" ref="T18" si="0">IF(AND(ISNUMBER(SEARCH("DX",C18)),ISNUMBER(SEARCH("&lt;65 kbtu",C18)),N18&lt;&gt;""),1.12*N18-0.02*N18^2,IF(ISNUMBER(SEARCH("PTAC",C18)),1,""))</f>
        <v/>
      </c>
      <c r="U18" s="950"/>
      <c r="V18" s="953"/>
      <c r="W18" s="954"/>
      <c r="X18" s="934"/>
      <c r="Y18" s="889"/>
      <c r="Z18" s="935"/>
      <c r="AA18" s="1015"/>
      <c r="AB18" s="889"/>
      <c r="AC18" s="889"/>
      <c r="AD18" s="935"/>
      <c r="AE18" s="977"/>
      <c r="AF18" s="978"/>
      <c r="AG18" s="978"/>
      <c r="AH18" s="981"/>
      <c r="AI18" s="983" t="str">
        <f>IF(C18="","",INDEX(STDHVAC_N[Current Unit],MATCH(C18,STDHVAC_N[Measure Name],0)))</f>
        <v/>
      </c>
      <c r="AJ18" s="983"/>
      <c r="AK18" s="983"/>
      <c r="AL18" s="984"/>
      <c r="AM18" s="969" t="str">
        <f>IFERROR(IF(C18="","",INDEX(IF(AND(ACTIVEBONUS_N = TRUE,INDEX(STDHVAC_N[Bonus Incentive],MATCH(C18,STDHVAC_N[Measure Name],0))&lt;&gt; ""),STDHVAC_N[Bonus Incentive],STDHVAC_N[Base Incentive]),MATCH(C18,STDHVAC_N[Measure Name],0))),"")</f>
        <v/>
      </c>
      <c r="AN18" s="969"/>
      <c r="AO18" s="987" t="str">
        <f>IFERROR(IF(OR(C18="",N18="",V18="",AA18="",T18="",AE18="",AG18=""),"",BF18),"")</f>
        <v/>
      </c>
      <c r="AP18" s="987"/>
      <c r="AQ18" s="987"/>
      <c r="AR18" s="969" t="str">
        <f>IFERROR(IF(OR(C18="",N18="",V18="",AA18="",T18="",AE18="",AG18=""),"",IF(BK18&lt;&gt;"",BK18,IF(BT18&gt;0,BT18,ROUND(IF(AO18&lt;=0,0,MIN(AY18,BH18)), 2)))), "")</f>
        <v/>
      </c>
      <c r="AS18" s="969"/>
      <c r="AT18" s="969"/>
      <c r="AU18" s="969"/>
      <c r="AV18" s="21"/>
      <c r="AY18" s="971" t="str">
        <f>IF(OR(C18="",N18="",V18="",AA18="",T18="",AE18="",AG18=""),"",IF(AO18=0,"",ROUND(AE18+AG18,2)))</f>
        <v/>
      </c>
      <c r="AZ18" s="973" t="str">
        <f>IFERROR(IF(OR(C18="",N18="",V18="",AA18="",T18="",AE18="",AG18=""),"",INDEX(STDHVAC_N[Current Unit],MATCH(C18,STDHVAC_N[Measure Name],0))),"Err")</f>
        <v/>
      </c>
      <c r="BA18" s="975" t="str">
        <f>IF(
OR(C18="",N18="",T18="",V18="",AA18="",AE18="",AG18=""),"",
IF(OR(ISNUMBER(SEARCH("PTAC",C18)),ISNUMBER(SEARCH("PTHP",C18))),
ROUND(V18*INDEX(STDHVAC_N[Electric Energy Savings (Annual kWh/unit)],MATCH(C18,#REF!,0)),4),
ROUND(V18*ABS(N18-L18)*INDEX(STDHVAC_N[Electric Energy Savings (Annual kWh/unit)],MATCH(C18,STDHVAC_N[Measure Name],0)),4)
))</f>
        <v/>
      </c>
      <c r="BB18" s="975" t="str">
        <f>IF(
OR(C18="",N18="",T18="",V18="",AA18="",AE18="",AG18=""),"",
IF(OR(ISNUMBER(SEARCH("PTAC",C18)),ISNUMBER(SEARCH("PTHP",C18))),
ROUND(V18*INDEX(STDHVAC_N[Coincident Peak Demand Savings (kW/unit)],MATCH(C18,STDHVAC_N[Measure Name],0)),4),
ROUND(V18*ABS(N18-L18)*INDEX(STDHVAC_N[Coincident Peak Demand Savings (kW/unit)],MATCH(C18,STDHVAC_N[Measure Name],0)),4)
))</f>
        <v/>
      </c>
      <c r="BC18" s="961"/>
      <c r="BD18" s="961"/>
      <c r="BE18" s="963" t="str">
        <f>IFERROR(IF(OR(C18="",N18="",V18="",AA18="",T18="",AE18="",AG18=""),"",INDEX(STDHVAC_N[End Use],MATCH(C18,STDHVAC_N[Measure Name],0))),"Err")</f>
        <v/>
      </c>
      <c r="BF18" s="965" t="str">
        <f>IF(C18&lt;&gt;"", _xlfn.LET(
_xlpm.Tons_Cool, V18, _xlpm.PLC_Base, L18, _xlpm.PLC_Eff, N18, _xlpm.Tons_Heat, BQ18, _xlpm.Other_Base, R18, _xlpm.Other_Eff, T18,
_xlpm.EFLH_Cool,
INDEX(STDHVAC_N[EFLHcool],MATCH(C18,STDHVAC_N[Measure Name],0)),
_xlpm.EFLH_Heat,
INDEX(STDHVAC_N[EFLHheat],MATCH(C18,STDHVAC_N[Measure Name],0)),
_xlpm.ElecHeat,
INDEX(SPACEHEAT[ELECHEAT],MATCH(N02S03F29,SPACEHEAT[Space Conditioning],0)),
_xlpm.kWhCool,
ROUND(
IF(OR(ISNUMBER(SEARCH("DX", C18)),ISNUMBER(SEARCH("ASHP", C18)), ISNUMBER(SEARCH("PTAC", C18)), ISNUMBER(SEARCH("PTHP", C18)), ISNUMBER(SEARCH("Air-Cooled Chiller", C18)), ISNUMBER(SEARCH("VRF", C18))),
_xlpm.Tons_Cool * (12/_xlpm.PLC_Base - 12/_xlpm.PLC_Eff)*_xlpm.EFLH_Cool,
IF(ISNUMBER(SEARCH("Water", C18)),
_xlpm.Tons_Cool * (_xlpm.PLC_Base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(1/_xlpm.Other_Base - 1/_xlpm.Other_Eff) * _xlpm.EFLH_Heat,
" "
)),4),
0
),
IFERROR(_xlpm.kWhCool + _xlpm.kWhHeat, "Measure Not Specified.")
), "")</f>
        <v/>
      </c>
      <c r="BG18" s="965" t="str">
        <f>IF(C18&lt;&gt;"", _xlfn.LET(
_xlpm.Tons, V18, _xlpm.PCF, 0.913,
IF(AND(ISNUMBER(SEARCH("DX",C18)),ISNUMBER(SEARCH("&lt;65 kbtu",C18))),
_xlpm.Tons * (12/11.42-12/MAX(11.42,T18))*_xlpm.PCF,
IF(OR(ISNUMBER(SEARCH("DX", C18)), ISNUMBER(SEARCH("Air-Cooled Chiller", C18)), ISNUMBER(SEARCH("VRF", C18))),
_xlpm.Tons * (12/R18 - 12/T18) * _xlpm.PCF,
IF(ISNUMBER(SEARCH("Water", C18)),
_xlpm.Tons * (R18-T18) * _xlpm.PCF,
IF(ISNUMBER(SEARCH("ASHP", C18)),
_xlpm.Tons * (12/BO18 - 12/BP18) * _xlpm.PCF,
IF(OR(ISNUMBER(SEARCH("PTAC", C18)), ISNUMBER(SEARCH("PTHP", C18))),
_xlpm.Tons * (12/L18 - 12/N18) * _xlpm.PCF,
"Measure Not Specified.")))))), "")</f>
        <v/>
      </c>
      <c r="BH18" s="1004" t="str">
        <f>IFERROR(IF(AI18="per ton", ROUND(V18*AM18, 2),
IF(AND(ISNUMBER(SEARCH("Air-Cooled Chiller",C18)),AI18="$/ton/IPLV"), ROUND((12/L18-12/N18)*V18*AM18, 2),
ROUND(ABS(N18-L18)*V18*AM18, 2))), "")</f>
        <v/>
      </c>
      <c r="BI18" s="967" t="str">
        <f>IFERROR(IF(OR(C18="",N18="",V18="",AA18="",T18="",AE18="",AG18="",ISNUMBER(AR18)=FALSE,AR18=0),"",INDEX(STDHVAC_N[Measure Number],MATCH(C18,STDHVAC_N[Measure Name],0))),"Err")</f>
        <v/>
      </c>
      <c r="BJ18" s="996" t="str">
        <f>IFERROR(IF(BT18="",IF(AR18 &lt; BH18, "100% Total Cost", ""), ""), "")</f>
        <v/>
      </c>
      <c r="BK18" s="967" t="str">
        <f>IFERROR(
IF(OR(C18="",J18="",L18="",N18="",P18="",R18="",T18="",V18="",AE18="",AG18=""),
"",
IF(BT18&gt;0,"",IF(OR(AND(ISNUMBER(SEARCH("kW/ton", J18)),OR(L18&lt;N18,R18&lt;T18)),AND(NOT(ISNUMBER(SEARCH("kW/ton", J18))),OR(L18&gt;N18,R18&gt;T18))),
"Must Improve Efficiency",
IF(EXPIRATION&lt;&gt;"",PROJSTATEXP,"")))),
"")</f>
        <v/>
      </c>
      <c r="BL18" s="959" t="str">
        <f>IFERROR(INDEX(STDHVAC_N[Measure Life (Years)],MATCH(C18,STDHVAC_N[Measure Name],0)),"")</f>
        <v/>
      </c>
      <c r="BM18" s="787" t="str">
        <f>IFERROR(IF(OR(C18="",N18="",V18="",AA18="",T18="",AE18="",AG18=""),"",
ROUND(((1+ELOSS)*((BA18*INDEX(ELECCB[NPV AEC $/kWh],MATCH(BL18,ELECCB[Year Number],1)))+(BB18*INDEX(ELECCB[NPV ACC $/kW],MATCH(BL18,ELECCB[Year Number],1))))),2)),0)</f>
        <v/>
      </c>
      <c r="BN18" s="1006" t="str">
        <f>IFERROR(IF(INDEX(STDHVAC_N[Eff Unit 3],MATCH(C18,STDHVAC_N[Measure Name],0))="","",INDEX(STDHVAC_N[Eff Unit 3],MATCH(C18,STDHVAC_N[Measure Name],0))),"")</f>
        <v/>
      </c>
      <c r="BO18" s="1008" t="str">
        <f>IFERROR(IF(INDEX(STDHVAC_N[Base Efficiency 3],MATCH(C18,STDHVAC_N[Measure Name],0))="","",INDEX(STDHVAC_N[Base Efficiency 3],MATCH(C18,STDHVAC_N[Measure Name],0))),"")</f>
        <v/>
      </c>
      <c r="BP18" s="1010" t="str">
        <f>IFERROR(IF(ISNUMBER(SEARCH("Air-Cooled Chiller",$C18)),12/N18,""),"")</f>
        <v/>
      </c>
      <c r="BQ18" s="1012"/>
      <c r="BR18" s="849" t="str">
        <f>IFERROR(IF(BI18="","",INDEX(STDHVAC_N[Reporting Methodology],MATCH(C18,STDHVAC_N[Measure Name],0))),"Err")</f>
        <v/>
      </c>
      <c r="BS18" s="787" t="str">
        <f>IFERROR(IF(OR(C18="",V18=""),"",INDEX(STDHVAC_N[Incremental Measure Cost ($/Unit)],MATCH(C18,STDHVAC_N[Measure Name],0))*V18),"Err")</f>
        <v/>
      </c>
      <c r="BT18" s="853"/>
    </row>
    <row r="19" spans="1:72" ht="15.95" customHeight="1">
      <c r="B19" s="800"/>
      <c r="C19" s="936"/>
      <c r="D19" s="937"/>
      <c r="E19" s="937"/>
      <c r="F19" s="937"/>
      <c r="G19" s="937"/>
      <c r="H19" s="937"/>
      <c r="I19" s="938"/>
      <c r="J19" s="941"/>
      <c r="K19" s="942"/>
      <c r="L19" s="944"/>
      <c r="M19" s="944"/>
      <c r="N19" s="947"/>
      <c r="O19" s="948"/>
      <c r="P19" s="941"/>
      <c r="Q19" s="942"/>
      <c r="R19" s="944"/>
      <c r="S19" s="944"/>
      <c r="T19" s="951"/>
      <c r="U19" s="952"/>
      <c r="V19" s="955"/>
      <c r="W19" s="956"/>
      <c r="X19" s="936"/>
      <c r="Y19" s="937"/>
      <c r="Z19" s="938"/>
      <c r="AA19" s="1016"/>
      <c r="AB19" s="937"/>
      <c r="AC19" s="937"/>
      <c r="AD19" s="938"/>
      <c r="AE19" s="979"/>
      <c r="AF19" s="980"/>
      <c r="AG19" s="980"/>
      <c r="AH19" s="982"/>
      <c r="AI19" s="985"/>
      <c r="AJ19" s="985"/>
      <c r="AK19" s="985"/>
      <c r="AL19" s="986"/>
      <c r="AM19" s="970"/>
      <c r="AN19" s="970"/>
      <c r="AO19" s="988"/>
      <c r="AP19" s="988"/>
      <c r="AQ19" s="988"/>
      <c r="AR19" s="970"/>
      <c r="AS19" s="970"/>
      <c r="AT19" s="970"/>
      <c r="AU19" s="970"/>
      <c r="AV19" s="21"/>
      <c r="AY19" s="972"/>
      <c r="AZ19" s="974"/>
      <c r="BA19" s="976"/>
      <c r="BB19" s="976"/>
      <c r="BC19" s="962"/>
      <c r="BD19" s="962"/>
      <c r="BE19" s="964"/>
      <c r="BF19" s="966"/>
      <c r="BG19" s="966"/>
      <c r="BH19" s="1005"/>
      <c r="BI19" s="968"/>
      <c r="BJ19" s="997"/>
      <c r="BK19" s="968"/>
      <c r="BL19" s="960"/>
      <c r="BM19" s="788"/>
      <c r="BN19" s="1007"/>
      <c r="BO19" s="1009"/>
      <c r="BP19" s="1011"/>
      <c r="BQ19" s="1013"/>
      <c r="BR19" s="850"/>
      <c r="BS19" s="788"/>
      <c r="BT19" s="854"/>
    </row>
    <row r="20" spans="1:72" ht="15.95" customHeight="1">
      <c r="A20" s="76"/>
      <c r="B20" s="800">
        <v>2</v>
      </c>
      <c r="C20" s="934"/>
      <c r="D20" s="889"/>
      <c r="E20" s="889"/>
      <c r="F20" s="889"/>
      <c r="G20" s="889"/>
      <c r="H20" s="889"/>
      <c r="I20" s="935"/>
      <c r="J20" s="939" t="str">
        <f>IF(C20="","",INDEX(STDHVAC_N[Eff Unit 1],MATCH(C20,STDHVAC_N[Measure Name],0)))</f>
        <v/>
      </c>
      <c r="K20" s="940"/>
      <c r="L20" s="943" t="str">
        <f>IF(C20="","",INDEX(STDHVAC_N[Base Efficiency 1],MATCH(C20,STDHVAC_N[Measure Name],0)))</f>
        <v/>
      </c>
      <c r="M20" s="943"/>
      <c r="N20" s="945"/>
      <c r="O20" s="946"/>
      <c r="P20" s="939" t="str">
        <f>IF(C20="","",INDEX(STDHVAC_N[Eff Unit 2],MATCH(C20,STDHVAC_N[Measure Name],0)))</f>
        <v/>
      </c>
      <c r="Q20" s="940"/>
      <c r="R20" s="943" t="str">
        <f>IF(C20="","",INDEX(STDHVAC_N[Base Efficiency 2],MATCH(C20,STDHVAC_N[Measure Name],0)))</f>
        <v/>
      </c>
      <c r="S20" s="943"/>
      <c r="T20" s="949" t="str">
        <f t="shared" ref="T20" si="1">IF(AND(ISNUMBER(SEARCH("DX",C20)),ISNUMBER(SEARCH("&lt;65 kbtu",C20)),N20&lt;&gt;""),1.12*N20-0.02*N20^2,IF(ISNUMBER(SEARCH("PTAC",C20)),1,""))</f>
        <v/>
      </c>
      <c r="U20" s="950"/>
      <c r="V20" s="953"/>
      <c r="W20" s="954"/>
      <c r="X20" s="934"/>
      <c r="Y20" s="889"/>
      <c r="Z20" s="935"/>
      <c r="AA20" s="1015"/>
      <c r="AB20" s="889"/>
      <c r="AC20" s="889"/>
      <c r="AD20" s="935"/>
      <c r="AE20" s="977"/>
      <c r="AF20" s="978"/>
      <c r="AG20" s="978"/>
      <c r="AH20" s="981"/>
      <c r="AI20" s="983" t="str">
        <f>IF(C20="","",INDEX(STDHVAC_N[Current Unit],MATCH(C20,STDHVAC_N[Measure Name],0)))</f>
        <v/>
      </c>
      <c r="AJ20" s="983"/>
      <c r="AK20" s="983"/>
      <c r="AL20" s="984"/>
      <c r="AM20" s="989" t="str">
        <f>IFERROR(IF(C20="","",INDEX(IF(AND(ACTIVEBONUS_N = TRUE,INDEX(STDHVAC_N[Bonus Incentive],MATCH(C20,STDHVAC_N[Measure Name],0))&lt;&gt; ""),STDHVAC_N[Bonus Incentive],STDHVAC_N[Base Incentive]),MATCH(C20,STDHVAC_N[Measure Name],0))),"")</f>
        <v/>
      </c>
      <c r="AN20" s="990"/>
      <c r="AO20" s="987" t="str">
        <f>IFERROR(IF(OR(C20="",N20="",V20="",AA20="",T20="",AE20="",AG20=""),"",BF20),"")</f>
        <v/>
      </c>
      <c r="AP20" s="987"/>
      <c r="AQ20" s="987"/>
      <c r="AR20" s="969" t="str">
        <f>IFERROR(IF(OR(C20="",N20="",V20="",AA20="",T20="",AE20="",AG20=""),"",IF(BK20&lt;&gt;"",BK20,IF(BT20&gt;0,BT20,ROUND(IF(AO20&lt;=0,0,MIN(AY20,BH20)), 2)))), "")</f>
        <v/>
      </c>
      <c r="AS20" s="969"/>
      <c r="AT20" s="969"/>
      <c r="AU20" s="969"/>
      <c r="AV20" s="21"/>
      <c r="AY20" s="971" t="str">
        <f>IF(OR(C20="",N20="",V20="",AA20="",T20="",AE20="",AG20=""),"",IF(AO20=0,"",ROUND(AE20+AG20,2)))</f>
        <v/>
      </c>
      <c r="AZ20" s="973" t="str">
        <f>IFERROR(IF(OR(C20="",N20="",V20="",AA20="",T20="",AE20="",AG20=""),"",INDEX(STDHVAC_N[Current Unit],MATCH(C20,STDHVAC_N[Measure Name],0))),"Err")</f>
        <v/>
      </c>
      <c r="BA20" s="975" t="str">
        <f>IF(
OR(C20="",N20="",T20="",V20="",AA20="",AE20="",AG20=""),"",
IF(OR(ISNUMBER(SEARCH("PTAC",C20)),ISNUMBER(SEARCH("PTHP",C20))),
ROUND(V20*INDEX(STDHVAC_N[Electric Energy Savings (Annual kWh/unit)],MATCH(C20,#REF!,0)),4),
ROUND(V20*ABS(N20-L20)*INDEX(STDHVAC_N[Electric Energy Savings (Annual kWh/unit)],MATCH(C20,STDHVAC_N[Measure Name],0)),4)
))</f>
        <v/>
      </c>
      <c r="BB20" s="975" t="str">
        <f>IF(
OR(C20="",N20="",T20="",V20="",AA20="",AE20="",AG20=""),"",
IF(OR(ISNUMBER(SEARCH("PTAC",C20)),ISNUMBER(SEARCH("PTHP",C20))),
ROUND(V20*INDEX(STDHVAC_N[Coincident Peak Demand Savings (kW/unit)],MATCH(C20,STDHVAC_N[Measure Name],0)),4),
ROUND(V20*ABS(N20-L20)*INDEX(STDHVAC_N[Coincident Peak Demand Savings (kW/unit)],MATCH(C20,STDHVAC_N[Measure Name],0)),4)
))</f>
        <v/>
      </c>
      <c r="BC20" s="962"/>
      <c r="BD20" s="962"/>
      <c r="BE20" s="963" t="str">
        <f>IFERROR(IF(OR(C20="",N20="",V20="",AA20="",T20="",AE20="",AG20=""),"",INDEX(STDHVAC_N[End Use],MATCH(C20,STDHVAC_N[Measure Name],0))),"Err")</f>
        <v/>
      </c>
      <c r="BF20" s="965" t="str">
        <f>IF(C20&lt;&gt;"", _xlfn.LET(
_xlpm.Tons_Cool, V20, _xlpm.PLC_Base, L20, _xlpm.PLC_Eff, N20, _xlpm.Tons_Heat, BQ20, _xlpm.Other_Base, R20, _xlpm.Other_Eff, T20,
_xlpm.EFLH_Cool,
INDEX(STDHVAC_N[EFLHcool],MATCH(C20,STDHVAC_N[Measure Name],0)),
_xlpm.EFLH_Heat,
INDEX(STDHVAC_N[EFLHheat],MATCH(C20,STDHVAC_N[Measure Name],0)),
_xlpm.ElecHeat,
INDEX(SPACEHEAT[ELECHEAT],MATCH(N02S03F29,SPACEHEAT[Space Conditioning],0)),
_xlpm.kWhCool,
ROUND(
IF(OR(ISNUMBER(SEARCH("DX", C20)),ISNUMBER(SEARCH("ASHP", C20)), ISNUMBER(SEARCH("PTAC", C20)), ISNUMBER(SEARCH("PTHP", C20)), ISNUMBER(SEARCH("Air-Cooled Chiller", C20)), ISNUMBER(SEARCH("VRF", C20))),
_xlpm.Tons_Cool * (12/_xlpm.PLC_Base - 12/_xlpm.PLC_Eff)*_xlpm.EFLH_Cool,
IF(ISNUMBER(SEARCH("Water", C20)),
_xlpm.Tons_Cool * (_xlpm.PLC_Base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(1/_xlpm.Other_Base - 1/_xlpm.Other_Eff) * _xlpm.EFLH_Heat,
" "
)),4),
0
),
IFERROR(_xlpm.kWhCool + _xlpm.kWhHeat, "Measure Not Specified.")
), "")</f>
        <v/>
      </c>
      <c r="BG20" s="965" t="str">
        <f t="shared" ref="BG20" si="2">IF(C20&lt;&gt;"", _xlfn.LET(
_xlpm.Tons, V20, _xlpm.PCF, 0.913,
IF(AND(ISNUMBER(SEARCH("DX",C20)),ISNUMBER(SEARCH("&lt;65 kbtu",C20))),
_xlpm.Tons * (12/11.42-12/MAX(11.42,T20))*_xlpm.PCF,
IF(OR(ISNUMBER(SEARCH("DX", C20)), ISNUMBER(SEARCH("Air-Cooled Chiller", C20)), ISNUMBER(SEARCH("VRF", C20))),
_xlpm.Tons * (12/R20 - 12/T20) * _xlpm.PCF,
IF(ISNUMBER(SEARCH("Water", C20)),
_xlpm.Tons * (R20-T20) * _xlpm.PCF,
IF(ISNUMBER(SEARCH("ASHP", C20)),
_xlpm.Tons * (12/BO20 - 12/BP20) * _xlpm.PCF,
IF(OR(ISNUMBER(SEARCH("PTAC", C20)), ISNUMBER(SEARCH("PTHP", C20))),
_xlpm.Tons * (12/L20 - 12/N20) * _xlpm.PCF,
"Measure Not Specified.")))))), "")</f>
        <v/>
      </c>
      <c r="BH20" s="1004" t="str">
        <f>IFERROR(IF(AI20="per ton", ROUND(V20*AM20, 2),
IF(AND(ISNUMBER(SEARCH("Air-Cooled Chiller",C20)),AI20="$/ton/IPLV"), ROUND((12/L20-12/N20)*V20*AM20, 2),
ROUND(ABS(N20-L20)*V20*AM20, 2))), "")</f>
        <v/>
      </c>
      <c r="BI20" s="967" t="str">
        <f>IFERROR(IF(OR(C20="",N20="",V20="",AA20="",T20="",AE20="",AG20="",ISNUMBER(AR20)=FALSE,AR20=0),"",INDEX(STDHVAC_N[Measure Number],MATCH(C20,STDHVAC_N[Measure Name],0))),"Err")</f>
        <v/>
      </c>
      <c r="BJ20" s="996" t="str">
        <f>IFERROR(IF(BT20="",IF(AR20 &lt; BH20, "100% Total Cost", ""), ""), "")</f>
        <v/>
      </c>
      <c r="BK20" s="967" t="str">
        <f>IFERROR(
IF(OR(C20="",J20="",L20="",N20="",P20="",R20="",T20="",V20="",AE20="",AG20=""),
"",
IF(BT20&gt;0,"",IF(OR(AND(ISNUMBER(SEARCH("kW/ton", J20)),OR(L20&lt;N20,R20&lt;T20)),AND(NOT(ISNUMBER(SEARCH("kW/ton", J20))),OR(L20&gt;N20,R20&gt;T20))),
"Must Improve Efficiency",
IF(EXPIRATION&lt;&gt;"",PROJSTATEXP,"")))),
"")</f>
        <v/>
      </c>
      <c r="BL20" s="959" t="str">
        <f>IFERROR(INDEX(STDHVAC_N[Measure Life (Years)],MATCH(C20,STDHVAC_N[Measure Name],0)),"")</f>
        <v/>
      </c>
      <c r="BM20" s="787" t="str">
        <f>IFERROR(IF(OR(C20="",N20="",V20="",AA20="",T20="",AE20="",AG20=""),"",
ROUND(((1+ELOSS)*((BA20*INDEX(ELECCB[NPV AEC $/kWh],MATCH(BL20,ELECCB[Year Number],1)))+(BB20*INDEX(ELECCB[NPV ACC $/kW],MATCH(BL20,ELECCB[Year Number],1))))),2)),0)</f>
        <v/>
      </c>
      <c r="BN20" s="1006" t="str">
        <f>IFERROR(IF(INDEX(STDHVAC_N[Eff Unit 3],MATCH(C20,STDHVAC_N[Measure Name],0))="","",INDEX(STDHVAC_N[Eff Unit 3],MATCH(C20,STDHVAC_N[Measure Name],0))),"")</f>
        <v/>
      </c>
      <c r="BO20" s="1008" t="str">
        <f>IFERROR(IF(INDEX(STDHVAC_N[Base Efficiency 3],MATCH(C20,STDHVAC_N[Measure Name],0))="","",INDEX(STDHVAC_N[Base Efficiency 3],MATCH(C20,STDHVAC_N[Measure Name],0))),"")</f>
        <v/>
      </c>
      <c r="BP20" s="1010" t="str">
        <f>IFERROR(IF(ISNUMBER(SEARCH("Air-Cooled Chiller",$C20)),12/N20,""),"")</f>
        <v/>
      </c>
      <c r="BQ20" s="1012"/>
      <c r="BR20" s="1014" t="str">
        <f>IFERROR(IF(BI20="","",INDEX(STDHVAC_N[Reporting Methodology],MATCH(C20,STDHVAC_N[Measure Name],0))),"Err")</f>
        <v/>
      </c>
      <c r="BS20" s="787" t="str">
        <f>IFERROR(IF(OR(C20="",V20=""),"",INDEX(STDHVAC_N[Incremental Measure Cost ($/Unit)],MATCH(C20,STDHVAC_N[Measure Name],0))*V20),"Err")</f>
        <v/>
      </c>
      <c r="BT20" s="853"/>
    </row>
    <row r="21" spans="1:72" ht="15.95" customHeight="1">
      <c r="B21" s="800"/>
      <c r="C21" s="936"/>
      <c r="D21" s="937"/>
      <c r="E21" s="937"/>
      <c r="F21" s="937"/>
      <c r="G21" s="937"/>
      <c r="H21" s="937"/>
      <c r="I21" s="938"/>
      <c r="J21" s="941"/>
      <c r="K21" s="942"/>
      <c r="L21" s="944"/>
      <c r="M21" s="944"/>
      <c r="N21" s="947"/>
      <c r="O21" s="948"/>
      <c r="P21" s="941"/>
      <c r="Q21" s="942"/>
      <c r="R21" s="944"/>
      <c r="S21" s="944"/>
      <c r="T21" s="951"/>
      <c r="U21" s="952"/>
      <c r="V21" s="955"/>
      <c r="W21" s="956"/>
      <c r="X21" s="936"/>
      <c r="Y21" s="937"/>
      <c r="Z21" s="938"/>
      <c r="AA21" s="1016"/>
      <c r="AB21" s="937"/>
      <c r="AC21" s="937"/>
      <c r="AD21" s="938"/>
      <c r="AE21" s="979"/>
      <c r="AF21" s="980"/>
      <c r="AG21" s="980"/>
      <c r="AH21" s="982"/>
      <c r="AI21" s="985"/>
      <c r="AJ21" s="985"/>
      <c r="AK21" s="985"/>
      <c r="AL21" s="986"/>
      <c r="AM21" s="991"/>
      <c r="AN21" s="992"/>
      <c r="AO21" s="988"/>
      <c r="AP21" s="988"/>
      <c r="AQ21" s="988"/>
      <c r="AR21" s="970"/>
      <c r="AS21" s="970"/>
      <c r="AT21" s="970"/>
      <c r="AU21" s="970"/>
      <c r="AV21" s="21"/>
      <c r="AY21" s="972"/>
      <c r="AZ21" s="974"/>
      <c r="BA21" s="976"/>
      <c r="BB21" s="976"/>
      <c r="BC21" s="962"/>
      <c r="BD21" s="962"/>
      <c r="BE21" s="964"/>
      <c r="BF21" s="966"/>
      <c r="BG21" s="966"/>
      <c r="BH21" s="1005"/>
      <c r="BI21" s="968"/>
      <c r="BJ21" s="997"/>
      <c r="BK21" s="968"/>
      <c r="BL21" s="960"/>
      <c r="BM21" s="788"/>
      <c r="BN21" s="1007"/>
      <c r="BO21" s="1009"/>
      <c r="BP21" s="1011"/>
      <c r="BQ21" s="1013"/>
      <c r="BR21" s="849"/>
      <c r="BS21" s="788"/>
      <c r="BT21" s="854"/>
    </row>
    <row r="22" spans="1:72" ht="15.95" customHeight="1">
      <c r="A22" s="76"/>
      <c r="B22" s="800">
        <v>3</v>
      </c>
      <c r="C22" s="993"/>
      <c r="D22" s="994"/>
      <c r="E22" s="994"/>
      <c r="F22" s="994"/>
      <c r="G22" s="994"/>
      <c r="H22" s="994"/>
      <c r="I22" s="995"/>
      <c r="J22" s="939" t="str">
        <f>IF(C22="","",INDEX(STDHVAC_N[Eff Unit 1],MATCH(C22,STDHVAC_N[Measure Name],0)))</f>
        <v/>
      </c>
      <c r="K22" s="940"/>
      <c r="L22" s="943" t="str">
        <f>IF(C22="","",INDEX(STDHVAC_N[Base Efficiency 1],MATCH(C22,STDHVAC_N[Measure Name],0)))</f>
        <v/>
      </c>
      <c r="M22" s="943"/>
      <c r="N22" s="945"/>
      <c r="O22" s="946"/>
      <c r="P22" s="939" t="str">
        <f>IF(C22="","",INDEX(STDHVAC_N[Eff Unit 2],MATCH(C22,STDHVAC_N[Measure Name],0)))</f>
        <v/>
      </c>
      <c r="Q22" s="940"/>
      <c r="R22" s="943" t="str">
        <f>IF(C22="","",INDEX(STDHVAC_N[Base Efficiency 2],MATCH(C22,STDHVAC_N[Measure Name],0)))</f>
        <v/>
      </c>
      <c r="S22" s="943"/>
      <c r="T22" s="949" t="str">
        <f t="shared" ref="T22" si="3">IF(AND(ISNUMBER(SEARCH("DX",C22)),ISNUMBER(SEARCH("&lt;65 kbtu",C22)),N22&lt;&gt;""),1.12*N22-0.02*N22^2,IF(ISNUMBER(SEARCH("PTAC",C22)),1,""))</f>
        <v/>
      </c>
      <c r="U22" s="950"/>
      <c r="V22" s="955"/>
      <c r="W22" s="956"/>
      <c r="X22" s="993"/>
      <c r="Y22" s="994"/>
      <c r="Z22" s="995"/>
      <c r="AA22" s="1015"/>
      <c r="AB22" s="889"/>
      <c r="AC22" s="889"/>
      <c r="AD22" s="935"/>
      <c r="AE22" s="977"/>
      <c r="AF22" s="978"/>
      <c r="AG22" s="978"/>
      <c r="AH22" s="981"/>
      <c r="AI22" s="985" t="str">
        <f>IF(C22="","",INDEX(STDHVAC_N[Current Unit],MATCH(C22,STDHVAC_N[Measure Name],0)))</f>
        <v/>
      </c>
      <c r="AJ22" s="985"/>
      <c r="AK22" s="985"/>
      <c r="AL22" s="986"/>
      <c r="AM22" s="998" t="str">
        <f>IFERROR(IF(C22="","",INDEX(IF(AND(ACTIVEBONUS_N = TRUE,INDEX(STDHVAC_N[Bonus Incentive],MATCH(C22,STDHVAC_N[Measure Name],0))&lt;&gt; ""),STDHVAC_N[Bonus Incentive],STDHVAC_N[Base Incentive]),MATCH(C22,STDHVAC_N[Measure Name],0))),"")</f>
        <v/>
      </c>
      <c r="AN22" s="999"/>
      <c r="AO22" s="987" t="str">
        <f>IFERROR(IF(OR(C22="",N22="",V22="",AA22="",T22="",AE22="",AG22=""),"",BF22),"")</f>
        <v/>
      </c>
      <c r="AP22" s="987"/>
      <c r="AQ22" s="987"/>
      <c r="AR22" s="969" t="str">
        <f>IFERROR(IF(OR(C22="",N22="",V22="",AA22="",T22="",AE22="",AG22=""),"",IF(BK22&lt;&gt;"",BK22,IF(BT22&gt;0,BT22,ROUND(IF(AO22&lt;=0,0,MIN(AY22,BH22)), 2)))), "")</f>
        <v/>
      </c>
      <c r="AS22" s="969"/>
      <c r="AT22" s="969"/>
      <c r="AU22" s="969"/>
      <c r="AV22" s="21"/>
      <c r="AY22" s="971" t="str">
        <f>IF(OR(C22="",N22="",V22="",AA22="",T22="",AE22="",AG22=""),"",IF(AO22=0,"",ROUND(AE22+AG22,2)))</f>
        <v/>
      </c>
      <c r="AZ22" s="973" t="str">
        <f>IFERROR(IF(OR(C22="",N22="",V22="",AA22="",T22="",AE22="",AG22=""),"",INDEX(STDHVAC_N[Current Unit],MATCH(C22,STDHVAC_N[Measure Name],0))),"Err")</f>
        <v/>
      </c>
      <c r="BA22" s="975" t="str">
        <f>IF(
OR(C22="",N22="",T22="",V22="",AA22="",AE22="",AG22=""),"",
IF(OR(ISNUMBER(SEARCH("PTAC",C22)),ISNUMBER(SEARCH("PTHP",C22))),
ROUND(V22*INDEX(STDHVAC_N[Electric Energy Savings (Annual kWh/unit)],MATCH(C22,#REF!,0)),4),
ROUND(V22*ABS(N22-L22)*INDEX(STDHVAC_N[Electric Energy Savings (Annual kWh/unit)],MATCH(C22,STDHVAC_N[Measure Name],0)),4)
))</f>
        <v/>
      </c>
      <c r="BB22" s="975" t="str">
        <f>IF(
OR(C22="",N22="",T22="",V22="",AA22="",AE22="",AG22=""),"",
IF(OR(ISNUMBER(SEARCH("PTAC",C22)),ISNUMBER(SEARCH("PTHP",C22))),
ROUND(V22*INDEX(STDHVAC_N[Coincident Peak Demand Savings (kW/unit)],MATCH(C22,STDHVAC_N[Measure Name],0)),4),
ROUND(V22*ABS(N22-L22)*INDEX(STDHVAC_N[Coincident Peak Demand Savings (kW/unit)],MATCH(C22,STDHVAC_N[Measure Name],0)),4)
))</f>
        <v/>
      </c>
      <c r="BC22" s="962"/>
      <c r="BD22" s="962"/>
      <c r="BE22" s="963" t="str">
        <f>IFERROR(IF(OR(C22="",N22="",V22="",AA22="",T22="",AE22="",AG22=""),"",INDEX(STDHVAC_N[End Use],MATCH(C22,STDHVAC_N[Measure Name],0))),"Err")</f>
        <v/>
      </c>
      <c r="BF22" s="965" t="str">
        <f>IF(C22&lt;&gt;"", _xlfn.LET(
_xlpm.Tons_Cool, V22, _xlpm.PLC_Base, L22, _xlpm.PLC_Eff, N22, _xlpm.Tons_Heat, BQ22, _xlpm.Other_Base, R22, _xlpm.Other_Eff, T22,
_xlpm.EFLH_Cool,
INDEX(STDHVAC_N[EFLHcool],MATCH(C22,STDHVAC_N[Measure Name],0)),
_xlpm.EFLH_Heat,
INDEX(STDHVAC_N[EFLHheat],MATCH(C22,STDHVAC_N[Measure Name],0)),
_xlpm.ElecHeat,
INDEX(SPACEHEAT[ELECHEAT],MATCH(N02S03F29,SPACEHEAT[Space Conditioning],0)),
_xlpm.kWhCool,
ROUND(
IF(OR(ISNUMBER(SEARCH("DX", C22)),ISNUMBER(SEARCH("ASHP", C22)), ISNUMBER(SEARCH("PTAC", C22)), ISNUMBER(SEARCH("PTHP", C22)), ISNUMBER(SEARCH("Air-Cooled Chiller", C22)), ISNUMBER(SEARCH("VRF", C22))),
_xlpm.Tons_Cool * (12/_xlpm.PLC_Base - 12/_xlpm.PLC_Eff)*_xlpm.EFLH_Cool,
IF(ISNUMBER(SEARCH("Water", C22)),
_xlpm.Tons_Cool * (_xlpm.PLC_Base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(1/_xlpm.Other_Base - 1/_xlpm.Other_Eff) * _xlpm.EFLH_Heat,
" "
)),4),
0
),
IFERROR(_xlpm.kWhCool + _xlpm.kWhHeat, "Measure Not Specified.")
), "")</f>
        <v/>
      </c>
      <c r="BG22" s="965" t="str">
        <f t="shared" ref="BG22" si="4">IF(C22&lt;&gt;"", _xlfn.LET(
_xlpm.Tons, V22, _xlpm.PCF, 0.913,
IF(AND(ISNUMBER(SEARCH("DX",C22)),ISNUMBER(SEARCH("&lt;65 kbtu",C22))),
_xlpm.Tons * (12/11.42-12/MAX(11.42,T22))*_xlpm.PCF,
IF(OR(ISNUMBER(SEARCH("DX", C22)), ISNUMBER(SEARCH("Air-Cooled Chiller", C22)), ISNUMBER(SEARCH("VRF", C22))),
_xlpm.Tons * (12/R22 - 12/T22) * _xlpm.PCF,
IF(ISNUMBER(SEARCH("Water", C22)),
_xlpm.Tons * (R22-T22) * _xlpm.PCF,
IF(ISNUMBER(SEARCH("ASHP", C22)),
_xlpm.Tons * (12/BO22 - 12/BP22) * _xlpm.PCF,
IF(OR(ISNUMBER(SEARCH("PTAC", C22)), ISNUMBER(SEARCH("PTHP", C22))),
_xlpm.Tons * (12/L22 - 12/N22) * _xlpm.PCF,
"Measure Not Specified.")))))), "")</f>
        <v/>
      </c>
      <c r="BH22" s="1004" t="str">
        <f>IFERROR(IF(AI22="per ton", ROUND(V22*AM22, 2),
IF(AND(ISNUMBER(SEARCH("Air-Cooled Chiller",C22)),AI22="$/ton/IPLV"), ROUND((12/L22-12/N22)*V22*AM22, 2),
ROUND(ABS(N22-L22)*V22*AM22, 2))), "")</f>
        <v/>
      </c>
      <c r="BI22" s="967" t="str">
        <f>IFERROR(IF(OR(C22="",N22="",V22="",AA22="",T22="",AE22="",AG22="",ISNUMBER(AR22)=FALSE,AR22=0),"",INDEX(STDHVAC_N[Measure Number],MATCH(C22,STDHVAC_N[Measure Name],0))),"Err")</f>
        <v/>
      </c>
      <c r="BJ22" s="996" t="str">
        <f>IFERROR(IF(BT22="",IF(AR22 &lt; BH22, "100% Total Cost", ""), ""), "")</f>
        <v/>
      </c>
      <c r="BK22" s="967" t="str">
        <f>IFERROR(
IF(OR(C22="",J22="",L22="",N22="",P22="",R22="",T22="",V22="",AE22="",AG22=""),
"",
IF(BT22&gt;0,"",IF(OR(AND(ISNUMBER(SEARCH("kW/ton", J22)),OR(L22&lt;N22,R22&lt;T22)),AND(NOT(ISNUMBER(SEARCH("kW/ton", J22))),OR(L22&gt;N22,R22&gt;T22))),
"Must Improve Efficiency",
IF(EXPIRATION&lt;&gt;"",PROJSTATEXP,"")))),
"")</f>
        <v/>
      </c>
      <c r="BL22" s="959" t="str">
        <f>IFERROR(INDEX(STDHVAC_N[Measure Life (Years)],MATCH(C22,STDHVAC_N[Measure Name],0)),"")</f>
        <v/>
      </c>
      <c r="BM22" s="787" t="str">
        <f>IFERROR(IF(OR(C22="",N22="",V22="",AA22="",T22="",AE22="",AG22=""),"",
ROUND(((1+ELOSS)*((BA22*INDEX(ELECCB[NPV AEC $/kWh],MATCH(BL22,ELECCB[Year Number],1)))+(BB22*INDEX(ELECCB[NPV ACC $/kW],MATCH(BL22,ELECCB[Year Number],1))))),2)),0)</f>
        <v/>
      </c>
      <c r="BN22" s="1006" t="str">
        <f>IFERROR(IF(INDEX(STDHVAC_N[Eff Unit 3],MATCH(C22,STDHVAC_N[Measure Name],0))="","",INDEX(STDHVAC_N[Eff Unit 3],MATCH(C22,STDHVAC_N[Measure Name],0))),"")</f>
        <v/>
      </c>
      <c r="BO22" s="1008" t="str">
        <f>IFERROR(IF(INDEX(STDHVAC_N[Base Efficiency 3],MATCH(C22,STDHVAC_N[Measure Name],0))="","",INDEX(STDHVAC_N[Base Efficiency 3],MATCH(C22,STDHVAC_N[Measure Name],0))),"")</f>
        <v/>
      </c>
      <c r="BP22" s="1010" t="str">
        <f>IFERROR(IF(ISNUMBER(SEARCH("Air-Cooled Chiller",$C22)),12/N22,""),"")</f>
        <v/>
      </c>
      <c r="BQ22" s="1012"/>
      <c r="BR22" s="1014" t="str">
        <f>IFERROR(IF(BI22="","",INDEX(STDHVAC_N[Reporting Methodology],MATCH(C22,STDHVAC_N[Measure Name],0))),"Err")</f>
        <v/>
      </c>
      <c r="BS22" s="787" t="str">
        <f>IFERROR(IF(OR(C22="",V22=""),"",INDEX(STDHVAC_N[Incremental Measure Cost ($/Unit)],MATCH(C22,STDHVAC_N[Measure Name],0))*V22),"Err")</f>
        <v/>
      </c>
      <c r="BT22" s="853"/>
    </row>
    <row r="23" spans="1:72" ht="15.95" customHeight="1">
      <c r="B23" s="800"/>
      <c r="C23" s="936"/>
      <c r="D23" s="937"/>
      <c r="E23" s="937"/>
      <c r="F23" s="937"/>
      <c r="G23" s="937"/>
      <c r="H23" s="937"/>
      <c r="I23" s="938"/>
      <c r="J23" s="941"/>
      <c r="K23" s="942"/>
      <c r="L23" s="944"/>
      <c r="M23" s="944"/>
      <c r="N23" s="947"/>
      <c r="O23" s="948"/>
      <c r="P23" s="941"/>
      <c r="Q23" s="942"/>
      <c r="R23" s="944"/>
      <c r="S23" s="944"/>
      <c r="T23" s="951"/>
      <c r="U23" s="952"/>
      <c r="V23" s="955"/>
      <c r="W23" s="956"/>
      <c r="X23" s="936"/>
      <c r="Y23" s="937"/>
      <c r="Z23" s="938"/>
      <c r="AA23" s="1016"/>
      <c r="AB23" s="937"/>
      <c r="AC23" s="937"/>
      <c r="AD23" s="938"/>
      <c r="AE23" s="979"/>
      <c r="AF23" s="980"/>
      <c r="AG23" s="980"/>
      <c r="AH23" s="982"/>
      <c r="AI23" s="985"/>
      <c r="AJ23" s="985"/>
      <c r="AK23" s="985"/>
      <c r="AL23" s="986"/>
      <c r="AM23" s="991"/>
      <c r="AN23" s="992"/>
      <c r="AO23" s="988"/>
      <c r="AP23" s="988"/>
      <c r="AQ23" s="988"/>
      <c r="AR23" s="970"/>
      <c r="AS23" s="970"/>
      <c r="AT23" s="970"/>
      <c r="AU23" s="970"/>
      <c r="AV23" s="21"/>
      <c r="AY23" s="972"/>
      <c r="AZ23" s="974"/>
      <c r="BA23" s="976"/>
      <c r="BB23" s="976"/>
      <c r="BC23" s="962"/>
      <c r="BD23" s="962"/>
      <c r="BE23" s="964"/>
      <c r="BF23" s="966"/>
      <c r="BG23" s="966"/>
      <c r="BH23" s="1005"/>
      <c r="BI23" s="968"/>
      <c r="BJ23" s="997"/>
      <c r="BK23" s="968"/>
      <c r="BL23" s="960"/>
      <c r="BM23" s="788"/>
      <c r="BN23" s="1007"/>
      <c r="BO23" s="1009"/>
      <c r="BP23" s="1011"/>
      <c r="BQ23" s="1013"/>
      <c r="BR23" s="849"/>
      <c r="BS23" s="788"/>
      <c r="BT23" s="854"/>
    </row>
    <row r="24" spans="1:72" ht="15.95" customHeight="1">
      <c r="B24" s="800">
        <v>4</v>
      </c>
      <c r="C24" s="993"/>
      <c r="D24" s="994"/>
      <c r="E24" s="994"/>
      <c r="F24" s="994"/>
      <c r="G24" s="994"/>
      <c r="H24" s="994"/>
      <c r="I24" s="995"/>
      <c r="J24" s="939" t="str">
        <f>IF(C24="","",INDEX(STDHVAC_N[Eff Unit 1],MATCH(C24,STDHVAC_N[Measure Name],0)))</f>
        <v/>
      </c>
      <c r="K24" s="940"/>
      <c r="L24" s="943" t="str">
        <f>IF(C24="","",INDEX(STDHVAC_N[Base Efficiency 1],MATCH(C24,STDHVAC_N[Measure Name],0)))</f>
        <v/>
      </c>
      <c r="M24" s="943"/>
      <c r="N24" s="945"/>
      <c r="O24" s="946"/>
      <c r="P24" s="939" t="str">
        <f>IF(C24="","",INDEX(STDHVAC_N[Eff Unit 2],MATCH(C24,STDHVAC_N[Measure Name],0)))</f>
        <v/>
      </c>
      <c r="Q24" s="940"/>
      <c r="R24" s="943" t="str">
        <f>IF(C24="","",INDEX(STDHVAC_N[Base Efficiency 2],MATCH(C24,STDHVAC_N[Measure Name],0)))</f>
        <v/>
      </c>
      <c r="S24" s="943"/>
      <c r="T24" s="949" t="str">
        <f t="shared" ref="T24" si="5">IF(AND(ISNUMBER(SEARCH("DX",C24)),ISNUMBER(SEARCH("&lt;65 kbtu",C24)),N24&lt;&gt;""),1.12*N24-0.02*N24^2,IF(ISNUMBER(SEARCH("PTAC",C24)),1,""))</f>
        <v/>
      </c>
      <c r="U24" s="950"/>
      <c r="V24" s="955"/>
      <c r="W24" s="956"/>
      <c r="X24" s="993"/>
      <c r="Y24" s="994"/>
      <c r="Z24" s="995"/>
      <c r="AA24" s="1015"/>
      <c r="AB24" s="889"/>
      <c r="AC24" s="889"/>
      <c r="AD24" s="935"/>
      <c r="AE24" s="977"/>
      <c r="AF24" s="978"/>
      <c r="AG24" s="978"/>
      <c r="AH24" s="981"/>
      <c r="AI24" s="985" t="str">
        <f>IF(C24="","",INDEX(STDHVAC_N[Current Unit],MATCH(C24,STDHVAC_N[Measure Name],0)))</f>
        <v/>
      </c>
      <c r="AJ24" s="985"/>
      <c r="AK24" s="985"/>
      <c r="AL24" s="986"/>
      <c r="AM24" s="998" t="str">
        <f>IFERROR(IF(C24="","",INDEX(IF(AND(ACTIVEBONUS_N = TRUE,INDEX(STDHVAC_N[Bonus Incentive],MATCH(C24,STDHVAC_N[Measure Name],0))&lt;&gt; ""),STDHVAC_N[Bonus Incentive],STDHVAC_N[Base Incentive]),MATCH(C24,STDHVAC_N[Measure Name],0))),"")</f>
        <v/>
      </c>
      <c r="AN24" s="999"/>
      <c r="AO24" s="987" t="str">
        <f>IFERROR(IF(OR(C24="",N24="",V24="",AA24="",T24="",AE24="",AG24=""),"",BF24),"")</f>
        <v/>
      </c>
      <c r="AP24" s="987"/>
      <c r="AQ24" s="987"/>
      <c r="AR24" s="969" t="str">
        <f>IFERROR(IF(OR(C24="",N24="",V24="",AA24="",T24="",AE24="",AG24=""),"",IF(BK24&lt;&gt;"",BK24,IF(BT24&gt;0,BT24,ROUND(IF(AO24&lt;=0,0,MIN(AY24,BH24)), 2)))), "")</f>
        <v/>
      </c>
      <c r="AS24" s="969"/>
      <c r="AT24" s="969"/>
      <c r="AU24" s="969"/>
      <c r="AV24" s="21"/>
      <c r="AY24" s="971" t="str">
        <f>IF(OR(C24="",N24="",V24="",AA24="",T24="",AE24="",AG24=""),"",IF(AO24=0,"",ROUND(AE24+AG24,2)))</f>
        <v/>
      </c>
      <c r="AZ24" s="973" t="str">
        <f>IFERROR(IF(OR(C24="",N24="",V24="",AA24="",T24="",AE24="",AG24=""),"",INDEX(STDHVAC_N[Current Unit],MATCH(C24,STDHVAC_N[Measure Name],0))),"Err")</f>
        <v/>
      </c>
      <c r="BA24" s="975" t="str">
        <f>IF(
OR(C24="",N24="",T24="",V24="",AA24="",AE24="",AG24=""),"",
IF(OR(ISNUMBER(SEARCH("PTAC",C24)),ISNUMBER(SEARCH("PTHP",C24))),
ROUND(V24*INDEX(STDHVAC_N[Electric Energy Savings (Annual kWh/unit)],MATCH(C24,#REF!,0)),4),
ROUND(V24*ABS(N24-L24)*INDEX(STDHVAC_N[Electric Energy Savings (Annual kWh/unit)],MATCH(C24,STDHVAC_N[Measure Name],0)),4)
))</f>
        <v/>
      </c>
      <c r="BB24" s="975" t="str">
        <f>IF(
OR(C24="",N24="",T24="",V24="",AA24="",AE24="",AG24=""),"",
IF(OR(ISNUMBER(SEARCH("PTAC",C24)),ISNUMBER(SEARCH("PTHP",C24))),
ROUND(V24*INDEX(STDHVAC_N[Coincident Peak Demand Savings (kW/unit)],MATCH(C24,STDHVAC_N[Measure Name],0)),4),
ROUND(V24*ABS(N24-L24)*INDEX(STDHVAC_N[Coincident Peak Demand Savings (kW/unit)],MATCH(C24,STDHVAC_N[Measure Name],0)),4)
))</f>
        <v/>
      </c>
      <c r="BC24" s="962"/>
      <c r="BD24" s="962"/>
      <c r="BE24" s="963" t="str">
        <f>IFERROR(IF(OR(C24="",N24="",V24="",AA24="",T24="",AE24="",AG24=""),"",INDEX(STDHVAC_N[End Use],MATCH(C24,STDHVAC_N[Measure Name],0))),"Err")</f>
        <v/>
      </c>
      <c r="BF24" s="965" t="str">
        <f>IF(C24&lt;&gt;"", _xlfn.LET(
_xlpm.Tons_Cool, V24, _xlpm.PLC_Base, L24, _xlpm.PLC_Eff, N24, _xlpm.Tons_Heat, BQ24, _xlpm.Other_Base, R24, _xlpm.Other_Eff, T24,
_xlpm.EFLH_Cool,
INDEX(STDHVAC_N[EFLHcool],MATCH(C24,STDHVAC_N[Measure Name],0)),
_xlpm.EFLH_Heat,
INDEX(STDHVAC_N[EFLHheat],MATCH(C24,STDHVAC_N[Measure Name],0)),
_xlpm.ElecHeat,
INDEX(SPACEHEAT[ELECHEAT],MATCH(N02S03F29,SPACEHEAT[Space Conditioning],0)),
_xlpm.kWhCool,
ROUND(
IF(OR(ISNUMBER(SEARCH("DX", C24)),ISNUMBER(SEARCH("ASHP", C24)), ISNUMBER(SEARCH("PTAC", C24)), ISNUMBER(SEARCH("PTHP", C24)), ISNUMBER(SEARCH("Air-Cooled Chiller", C24)), ISNUMBER(SEARCH("VRF", C24))),
_xlpm.Tons_Cool * (12/_xlpm.PLC_Base - 12/_xlpm.PLC_Eff)*_xlpm.EFLH_Cool,
IF(ISNUMBER(SEARCH("Water", C24)),
_xlpm.Tons_Cool * (_xlpm.PLC_Base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(1/_xlpm.Other_Base - 1/_xlpm.Other_Eff) * _xlpm.EFLH_Heat,
" "
)),4),
0
),
IFERROR(_xlpm.kWhCool + _xlpm.kWhHeat, "Measure Not Specified.")
), "")</f>
        <v/>
      </c>
      <c r="BG24" s="965" t="str">
        <f t="shared" ref="BG24" si="6">IF(C24&lt;&gt;"", _xlfn.LET(
_xlpm.Tons, V24, _xlpm.PCF, 0.913,
IF(AND(ISNUMBER(SEARCH("DX",C24)),ISNUMBER(SEARCH("&lt;65 kbtu",C24))),
_xlpm.Tons * (12/11.42-12/MAX(11.42,T24))*_xlpm.PCF,
IF(OR(ISNUMBER(SEARCH("DX", C24)), ISNUMBER(SEARCH("Air-Cooled Chiller", C24)), ISNUMBER(SEARCH("VRF", C24))),
_xlpm.Tons * (12/R24 - 12/T24) * _xlpm.PCF,
IF(ISNUMBER(SEARCH("Water", C24)),
_xlpm.Tons * (R24-T24) * _xlpm.PCF,
IF(ISNUMBER(SEARCH("ASHP", C24)),
_xlpm.Tons * (12/BO24 - 12/BP24) * _xlpm.PCF,
IF(OR(ISNUMBER(SEARCH("PTAC", C24)), ISNUMBER(SEARCH("PTHP", C24))),
_xlpm.Tons * (12/L24 - 12/N24) * _xlpm.PCF,
"Measure Not Specified.")))))), "")</f>
        <v/>
      </c>
      <c r="BH24" s="1004" t="str">
        <f>IFERROR(IF(AI24="per ton", ROUND(V24*AM24, 2),
IF(AND(ISNUMBER(SEARCH("Air-Cooled Chiller",C24)),AI24="$/ton/IPLV"), ROUND((12/L24-12/N24)*V24*AM24, 2),
ROUND(ABS(N24-L24)*V24*AM24, 2))), "")</f>
        <v/>
      </c>
      <c r="BI24" s="967" t="str">
        <f>IFERROR(IF(OR(C24="",N24="",V24="",AA24="",T24="",AE24="",AG24="",ISNUMBER(AR24)=FALSE,AR24=0),"",INDEX(STDHVAC_N[Measure Number],MATCH(C24,STDHVAC_N[Measure Name],0))),"Err")</f>
        <v/>
      </c>
      <c r="BJ24" s="996" t="str">
        <f>IFERROR(IF(BT24="",IF(AR24 &lt; BH24, "100% Total Cost", ""), ""), "")</f>
        <v/>
      </c>
      <c r="BK24" s="967" t="str">
        <f>IFERROR(
IF(OR(C24="",J24="",L24="",N24="",P24="",R24="",T24="",V24="",AE24="",AG24=""),
"",
IF(BT24&gt;0,"",IF(OR(AND(ISNUMBER(SEARCH("kW/ton", J24)),OR(L24&lt;N24,R24&lt;T24)),AND(NOT(ISNUMBER(SEARCH("kW/ton", J24))),OR(L24&gt;N24,R24&gt;T24))),
"Must Improve Efficiency",
IF(EXPIRATION&lt;&gt;"",PROJSTATEXP,"")))),
"")</f>
        <v/>
      </c>
      <c r="BL24" s="959" t="str">
        <f>IFERROR(INDEX(STDHVAC_N[Measure Life (Years)],MATCH(C24,STDHVAC_N[Measure Name],0)),"")</f>
        <v/>
      </c>
      <c r="BM24" s="787" t="str">
        <f>IFERROR(IF(OR(C24="",N24="",V24="",AA24="",T24="",AE24="",AG24=""),"",
ROUND(((1+ELOSS)*((BA24*INDEX(ELECCB[NPV AEC $/kWh],MATCH(BL24,ELECCB[Year Number],1)))+(BB24*INDEX(ELECCB[NPV ACC $/kW],MATCH(BL24,ELECCB[Year Number],1))))),2)),0)</f>
        <v/>
      </c>
      <c r="BN24" s="1006" t="str">
        <f>IFERROR(IF(INDEX(STDHVAC_N[Eff Unit 3],MATCH(C24,STDHVAC_N[Measure Name],0))="","",INDEX(STDHVAC_N[Eff Unit 3],MATCH(C24,STDHVAC_N[Measure Name],0))),"")</f>
        <v/>
      </c>
      <c r="BO24" s="1008" t="str">
        <f>IFERROR(IF(INDEX(STDHVAC_N[Base Efficiency 3],MATCH(C24,STDHVAC_N[Measure Name],0))="","",INDEX(STDHVAC_N[Base Efficiency 3],MATCH(C24,STDHVAC_N[Measure Name],0))),"")</f>
        <v/>
      </c>
      <c r="BP24" s="1010" t="str">
        <f>IFERROR(IF(ISNUMBER(SEARCH("Air-Cooled Chiller",$C24)),12/N24,""),"")</f>
        <v/>
      </c>
      <c r="BQ24" s="1012"/>
      <c r="BR24" s="1014" t="str">
        <f>IFERROR(IF(BI24="","",INDEX(STDHVAC_N[Reporting Methodology],MATCH(C24,STDHVAC_N[Measure Name],0))),"Err")</f>
        <v/>
      </c>
      <c r="BS24" s="787" t="str">
        <f>IFERROR(IF(OR(C24="",V24=""),"",INDEX(STDHVAC_N[Incremental Measure Cost ($/Unit)],MATCH(C24,STDHVAC_N[Measure Name],0))*V24),"Err")</f>
        <v/>
      </c>
      <c r="BT24" s="853"/>
    </row>
    <row r="25" spans="1:72" ht="15.95" customHeight="1">
      <c r="A25" s="76"/>
      <c r="B25" s="800"/>
      <c r="C25" s="936"/>
      <c r="D25" s="937"/>
      <c r="E25" s="937"/>
      <c r="F25" s="937"/>
      <c r="G25" s="937"/>
      <c r="H25" s="937"/>
      <c r="I25" s="938"/>
      <c r="J25" s="941"/>
      <c r="K25" s="942"/>
      <c r="L25" s="944"/>
      <c r="M25" s="944"/>
      <c r="N25" s="947"/>
      <c r="O25" s="948"/>
      <c r="P25" s="941"/>
      <c r="Q25" s="942"/>
      <c r="R25" s="944"/>
      <c r="S25" s="944"/>
      <c r="T25" s="951"/>
      <c r="U25" s="952"/>
      <c r="V25" s="955"/>
      <c r="W25" s="956"/>
      <c r="X25" s="936"/>
      <c r="Y25" s="937"/>
      <c r="Z25" s="938"/>
      <c r="AA25" s="1016"/>
      <c r="AB25" s="937"/>
      <c r="AC25" s="937"/>
      <c r="AD25" s="938"/>
      <c r="AE25" s="979"/>
      <c r="AF25" s="980"/>
      <c r="AG25" s="980"/>
      <c r="AH25" s="982"/>
      <c r="AI25" s="985"/>
      <c r="AJ25" s="985"/>
      <c r="AK25" s="985"/>
      <c r="AL25" s="986"/>
      <c r="AM25" s="991"/>
      <c r="AN25" s="992"/>
      <c r="AO25" s="988"/>
      <c r="AP25" s="988"/>
      <c r="AQ25" s="988"/>
      <c r="AR25" s="970"/>
      <c r="AS25" s="970"/>
      <c r="AT25" s="970"/>
      <c r="AU25" s="970"/>
      <c r="AV25" s="21"/>
      <c r="AY25" s="972"/>
      <c r="AZ25" s="974"/>
      <c r="BA25" s="976"/>
      <c r="BB25" s="976"/>
      <c r="BC25" s="962"/>
      <c r="BD25" s="962"/>
      <c r="BE25" s="964"/>
      <c r="BF25" s="966"/>
      <c r="BG25" s="966"/>
      <c r="BH25" s="1005"/>
      <c r="BI25" s="968"/>
      <c r="BJ25" s="997"/>
      <c r="BK25" s="968"/>
      <c r="BL25" s="960"/>
      <c r="BM25" s="788"/>
      <c r="BN25" s="1007"/>
      <c r="BO25" s="1009"/>
      <c r="BP25" s="1011"/>
      <c r="BQ25" s="1013"/>
      <c r="BR25" s="849"/>
      <c r="BS25" s="788"/>
      <c r="BT25" s="854"/>
    </row>
    <row r="26" spans="1:72" ht="15.95" customHeight="1">
      <c r="B26" s="800">
        <v>5</v>
      </c>
      <c r="C26" s="993"/>
      <c r="D26" s="994"/>
      <c r="E26" s="994"/>
      <c r="F26" s="994"/>
      <c r="G26" s="994"/>
      <c r="H26" s="994"/>
      <c r="I26" s="995"/>
      <c r="J26" s="939" t="str">
        <f>IF(C26="","",INDEX(STDHVAC_N[Eff Unit 1],MATCH(C26,STDHVAC_N[Measure Name],0)))</f>
        <v/>
      </c>
      <c r="K26" s="940"/>
      <c r="L26" s="943" t="str">
        <f>IF(C26="","",INDEX(STDHVAC_N[Base Efficiency 1],MATCH(C26,STDHVAC_N[Measure Name],0)))</f>
        <v/>
      </c>
      <c r="M26" s="943"/>
      <c r="N26" s="945"/>
      <c r="O26" s="946"/>
      <c r="P26" s="939" t="str">
        <f>IF(C26="","",INDEX(STDHVAC_N[Eff Unit 2],MATCH(C26,STDHVAC_N[Measure Name],0)))</f>
        <v/>
      </c>
      <c r="Q26" s="940"/>
      <c r="R26" s="943" t="str">
        <f>IF(C26="","",INDEX(STDHVAC_N[Base Efficiency 2],MATCH(C26,STDHVAC_N[Measure Name],0)))</f>
        <v/>
      </c>
      <c r="S26" s="943"/>
      <c r="T26" s="949" t="str">
        <f t="shared" ref="T26" si="7">IF(AND(ISNUMBER(SEARCH("DX",C26)),ISNUMBER(SEARCH("&lt;65 kbtu",C26)),N26&lt;&gt;""),1.12*N26-0.02*N26^2,IF(ISNUMBER(SEARCH("PTAC",C26)),1,""))</f>
        <v/>
      </c>
      <c r="U26" s="950"/>
      <c r="V26" s="955"/>
      <c r="W26" s="956"/>
      <c r="X26" s="993"/>
      <c r="Y26" s="994"/>
      <c r="Z26" s="995"/>
      <c r="AA26" s="1015"/>
      <c r="AB26" s="889"/>
      <c r="AC26" s="889"/>
      <c r="AD26" s="935"/>
      <c r="AE26" s="977"/>
      <c r="AF26" s="978"/>
      <c r="AG26" s="978"/>
      <c r="AH26" s="981"/>
      <c r="AI26" s="985" t="str">
        <f>IF(C26="","",INDEX(STDHVAC_N[Current Unit],MATCH(C26,STDHVAC_N[Measure Name],0)))</f>
        <v/>
      </c>
      <c r="AJ26" s="985"/>
      <c r="AK26" s="985"/>
      <c r="AL26" s="986"/>
      <c r="AM26" s="998" t="str">
        <f>IFERROR(IF(C26="","",INDEX(IF(AND(ACTIVEBONUS_N = TRUE,INDEX(STDHVAC_N[Bonus Incentive],MATCH(C26,STDHVAC_N[Measure Name],0))&lt;&gt; ""),STDHVAC_N[Bonus Incentive],STDHVAC_N[Base Incentive]),MATCH(C26,STDHVAC_N[Measure Name],0))),"")</f>
        <v/>
      </c>
      <c r="AN26" s="999"/>
      <c r="AO26" s="987" t="str">
        <f>IFERROR(IF(OR(C26="",N26="",V26="",AA26="",T26="",AE26="",AG26=""),"",BF26),"")</f>
        <v/>
      </c>
      <c r="AP26" s="987"/>
      <c r="AQ26" s="987"/>
      <c r="AR26" s="969" t="str">
        <f>IFERROR(IF(OR(C26="",N26="",V26="",AA26="",T26="",AE26="",AG26=""),"",IF(BK26&lt;&gt;"",BK26,IF(BT26&gt;0,BT26,ROUND(IF(AO26&lt;=0,0,MIN(AY26,BH26)), 2)))), "")</f>
        <v/>
      </c>
      <c r="AS26" s="969"/>
      <c r="AT26" s="969"/>
      <c r="AU26" s="969"/>
      <c r="AW26" s="21"/>
      <c r="AY26" s="971" t="str">
        <f>IF(OR(C26="",N26="",V26="",AA26="",T26="",AE26="",AG26=""),"",IF(AO26=0,"",ROUND(AE26+AG26,2)))</f>
        <v/>
      </c>
      <c r="AZ26" s="973" t="str">
        <f>IFERROR(IF(OR(C26="",N26="",V26="",AA26="",T26="",AE26="",AG26=""),"",INDEX(STDHVAC_N[Current Unit],MATCH(C26,STDHVAC_N[Measure Name],0))),"Err")</f>
        <v/>
      </c>
      <c r="BA26" s="975" t="str">
        <f>IF(
OR(C26="",N26="",T26="",V26="",AA26="",AE26="",AG26=""),"",
IF(OR(ISNUMBER(SEARCH("PTAC",C26)),ISNUMBER(SEARCH("PTHP",C26))),
ROUND(V26*INDEX(STDHVAC_N[Electric Energy Savings (Annual kWh/unit)],MATCH(C26,#REF!,0)),4),
ROUND(V26*ABS(N26-L26)*INDEX(STDHVAC_N[Electric Energy Savings (Annual kWh/unit)],MATCH(C26,STDHVAC_N[Measure Name],0)),4)
))</f>
        <v/>
      </c>
      <c r="BB26" s="975" t="str">
        <f>IF(
OR(C26="",N26="",T26="",V26="",AA26="",AE26="",AG26=""),"",
IF(OR(ISNUMBER(SEARCH("PTAC",C26)),ISNUMBER(SEARCH("PTHP",C26))),
ROUND(V26*INDEX(STDHVAC_N[Coincident Peak Demand Savings (kW/unit)],MATCH(C26,STDHVAC_N[Measure Name],0)),4),
ROUND(V26*ABS(N26-L26)*INDEX(STDHVAC_N[Coincident Peak Demand Savings (kW/unit)],MATCH(C26,STDHVAC_N[Measure Name],0)),4)
))</f>
        <v/>
      </c>
      <c r="BC26" s="962"/>
      <c r="BD26" s="962"/>
      <c r="BE26" s="963" t="str">
        <f>IFERROR(IF(OR(C26="",N26="",V26="",AA26="",T26="",AE26="",AG26=""),"",INDEX(STDHVAC_N[End Use],MATCH(C26,STDHVAC_N[Measure Name],0))),"Err")</f>
        <v/>
      </c>
      <c r="BF26" s="965" t="str">
        <f>IF(C26&lt;&gt;"", _xlfn.LET(
_xlpm.Tons_Cool, V26, _xlpm.PLC_Base, L26, _xlpm.PLC_Eff, N26, _xlpm.Tons_Heat, BQ26, _xlpm.Other_Base, R26, _xlpm.Other_Eff, T26,
_xlpm.EFLH_Cool,
INDEX(STDHVAC_N[EFLHcool],MATCH(C26,STDHVAC_N[Measure Name],0)),
_xlpm.EFLH_Heat,
INDEX(STDHVAC_N[EFLHheat],MATCH(C26,STDHVAC_N[Measure Name],0)),
_xlpm.ElecHeat,
INDEX(SPACEHEAT[ELECHEAT],MATCH(N02S03F29,SPACEHEAT[Space Conditioning],0)),
_xlpm.kWhCool,
ROUND(
IF(OR(ISNUMBER(SEARCH("DX", C26)),ISNUMBER(SEARCH("ASHP", C26)), ISNUMBER(SEARCH("PTAC", C26)), ISNUMBER(SEARCH("PTHP", C26)), ISNUMBER(SEARCH("Air-Cooled Chiller", C26)), ISNUMBER(SEARCH("VRF", C26))),
_xlpm.Tons_Cool * (12/_xlpm.PLC_Base - 12/_xlpm.PLC_Eff)*_xlpm.EFLH_Cool,
IF(ISNUMBER(SEARCH("Water", C26)),
_xlpm.Tons_Cool * (_xlpm.PLC_Base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(1/_xlpm.Other_Base - 1/_xlpm.Other_Eff) * _xlpm.EFLH_Heat,
" "
)),4),
0
),
IFERROR(_xlpm.kWhCool + _xlpm.kWhHeat, "Measure Not Specified.")
), "")</f>
        <v/>
      </c>
      <c r="BG26" s="965" t="str">
        <f t="shared" ref="BG26" si="8">IF(C26&lt;&gt;"", _xlfn.LET(
_xlpm.Tons, V26, _xlpm.PCF, 0.913,
IF(AND(ISNUMBER(SEARCH("DX",C26)),ISNUMBER(SEARCH("&lt;65 kbtu",C26))),
_xlpm.Tons * (12/11.42-12/MAX(11.42,T26))*_xlpm.PCF,
IF(OR(ISNUMBER(SEARCH("DX", C26)), ISNUMBER(SEARCH("Air-Cooled Chiller", C26)), ISNUMBER(SEARCH("VRF", C26))),
_xlpm.Tons * (12/R26 - 12/T26) * _xlpm.PCF,
IF(ISNUMBER(SEARCH("Water", C26)),
_xlpm.Tons * (R26-T26) * _xlpm.PCF,
IF(ISNUMBER(SEARCH("ASHP", C26)),
_xlpm.Tons * (12/BO26 - 12/BP26) * _xlpm.PCF,
IF(OR(ISNUMBER(SEARCH("PTAC", C26)), ISNUMBER(SEARCH("PTHP", C26))),
_xlpm.Tons * (12/L26 - 12/N26) * _xlpm.PCF,
"Measure Not Specified.")))))), "")</f>
        <v/>
      </c>
      <c r="BH26" s="1004" t="str">
        <f>IFERROR(IF(AI26="per ton", ROUND(V26*AM26, 2),
IF(AND(ISNUMBER(SEARCH("Air-Cooled Chiller",C26)),AI26="$/ton/IPLV"), ROUND((12/L26-12/N26)*V26*AM26, 2),
ROUND(ABS(N26-L26)*V26*AM26, 2))), "")</f>
        <v/>
      </c>
      <c r="BI26" s="967" t="str">
        <f>IFERROR(IF(OR(C26="",N26="",V26="",AA26="",T26="",AE26="",AG26="",ISNUMBER(AR26)=FALSE,AR26=0),"",INDEX(STDHVAC_N[Measure Number],MATCH(C26,STDHVAC_N[Measure Name],0))),"Err")</f>
        <v/>
      </c>
      <c r="BJ26" s="996" t="str">
        <f>IFERROR(IF(BT26="",IF(AR26 &lt; BH26, "100% Total Cost", ""), ""), "")</f>
        <v/>
      </c>
      <c r="BK26" s="967" t="str">
        <f>IFERROR(
IF(OR(C26="",J26="",L26="",N26="",P26="",R26="",T26="",V26="",AE26="",AG26=""),
"",
IF(BT26&gt;0,"",IF(OR(AND(ISNUMBER(SEARCH("kW/ton", J26)),OR(L26&lt;N26,R26&lt;T26)),AND(NOT(ISNUMBER(SEARCH("kW/ton", J26))),OR(L26&gt;N26,R26&gt;T26))),
"Must Improve Efficiency",
IF(EXPIRATION&lt;&gt;"",PROJSTATEXP,"")))),
"")</f>
        <v/>
      </c>
      <c r="BL26" s="959" t="str">
        <f>IFERROR(INDEX(STDHVAC_N[Measure Life (Years)],MATCH(C26,STDHVAC_N[Measure Name],0)),"")</f>
        <v/>
      </c>
      <c r="BM26" s="787" t="str">
        <f>IFERROR(IF(OR(C26="",N26="",V26="",AA26="",T26="",AE26="",AG26=""),"",
ROUND(((1+ELOSS)*((BA26*INDEX(ELECCB[NPV AEC $/kWh],MATCH(BL26,ELECCB[Year Number],1)))+(BB26*INDEX(ELECCB[NPV ACC $/kW],MATCH(BL26,ELECCB[Year Number],1))))),2)),0)</f>
        <v/>
      </c>
      <c r="BN26" s="1006" t="str">
        <f>IFERROR(IF(INDEX(STDHVAC_N[Eff Unit 3],MATCH(C26,STDHVAC_N[Measure Name],0))="","",INDEX(STDHVAC_N[Eff Unit 3],MATCH(C26,STDHVAC_N[Measure Name],0))),"")</f>
        <v/>
      </c>
      <c r="BO26" s="1008" t="str">
        <f>IFERROR(IF(INDEX(STDHVAC_N[Base Efficiency 3],MATCH(C26,STDHVAC_N[Measure Name],0))="","",INDEX(STDHVAC_N[Base Efficiency 3],MATCH(C26,STDHVAC_N[Measure Name],0))),"")</f>
        <v/>
      </c>
      <c r="BP26" s="1010" t="str">
        <f>IFERROR(IF(ISNUMBER(SEARCH("Air-Cooled Chiller",$C26)),12/N26,""),"")</f>
        <v/>
      </c>
      <c r="BQ26" s="1012"/>
      <c r="BR26" s="1014" t="str">
        <f>IFERROR(IF(BI26="","",INDEX(STDHVAC_N[Reporting Methodology],MATCH(C26,STDHVAC_N[Measure Name],0))),"Err")</f>
        <v/>
      </c>
      <c r="BS26" s="787" t="str">
        <f>IFERROR(IF(OR(C26="",V26=""),"",INDEX(STDHVAC_N[Incremental Measure Cost ($/Unit)],MATCH(C26,STDHVAC_N[Measure Name],0))*V26),"Err")</f>
        <v/>
      </c>
      <c r="BT26" s="853"/>
    </row>
    <row r="27" spans="1:72" ht="15.95" customHeight="1">
      <c r="B27" s="800"/>
      <c r="C27" s="936"/>
      <c r="D27" s="937"/>
      <c r="E27" s="937"/>
      <c r="F27" s="937"/>
      <c r="G27" s="937"/>
      <c r="H27" s="937"/>
      <c r="I27" s="938"/>
      <c r="J27" s="941"/>
      <c r="K27" s="942"/>
      <c r="L27" s="944"/>
      <c r="M27" s="944"/>
      <c r="N27" s="947"/>
      <c r="O27" s="948"/>
      <c r="P27" s="941"/>
      <c r="Q27" s="942"/>
      <c r="R27" s="944"/>
      <c r="S27" s="944"/>
      <c r="T27" s="951"/>
      <c r="U27" s="952"/>
      <c r="V27" s="955"/>
      <c r="W27" s="956"/>
      <c r="X27" s="936"/>
      <c r="Y27" s="937"/>
      <c r="Z27" s="938"/>
      <c r="AA27" s="1016"/>
      <c r="AB27" s="937"/>
      <c r="AC27" s="937"/>
      <c r="AD27" s="938"/>
      <c r="AE27" s="979"/>
      <c r="AF27" s="980"/>
      <c r="AG27" s="980"/>
      <c r="AH27" s="982"/>
      <c r="AI27" s="985"/>
      <c r="AJ27" s="985"/>
      <c r="AK27" s="985"/>
      <c r="AL27" s="986"/>
      <c r="AM27" s="991"/>
      <c r="AN27" s="992"/>
      <c r="AO27" s="988"/>
      <c r="AP27" s="988"/>
      <c r="AQ27" s="988"/>
      <c r="AR27" s="970"/>
      <c r="AS27" s="970"/>
      <c r="AT27" s="970"/>
      <c r="AU27" s="970"/>
      <c r="AV27" s="21"/>
      <c r="AY27" s="972"/>
      <c r="AZ27" s="974"/>
      <c r="BA27" s="976"/>
      <c r="BB27" s="976"/>
      <c r="BC27" s="962"/>
      <c r="BD27" s="962"/>
      <c r="BE27" s="964"/>
      <c r="BF27" s="966"/>
      <c r="BG27" s="966"/>
      <c r="BH27" s="1005"/>
      <c r="BI27" s="968"/>
      <c r="BJ27" s="997"/>
      <c r="BK27" s="968"/>
      <c r="BL27" s="960"/>
      <c r="BM27" s="788"/>
      <c r="BN27" s="1007"/>
      <c r="BO27" s="1009"/>
      <c r="BP27" s="1011"/>
      <c r="BQ27" s="1013"/>
      <c r="BR27" s="849"/>
      <c r="BS27" s="788"/>
      <c r="BT27" s="854"/>
    </row>
    <row r="28" spans="1:72" ht="15.95" customHeight="1">
      <c r="B28" s="800">
        <v>6</v>
      </c>
      <c r="C28" s="993"/>
      <c r="D28" s="994"/>
      <c r="E28" s="994"/>
      <c r="F28" s="994"/>
      <c r="G28" s="994"/>
      <c r="H28" s="994"/>
      <c r="I28" s="995"/>
      <c r="J28" s="939" t="str">
        <f>IF(C28="","",INDEX(STDHVAC_N[Eff Unit 1],MATCH(C28,STDHVAC_N[Measure Name],0)))</f>
        <v/>
      </c>
      <c r="K28" s="940"/>
      <c r="L28" s="943" t="str">
        <f>IF(C28="","",INDEX(STDHVAC_N[Base Efficiency 1],MATCH(C28,STDHVAC_N[Measure Name],0)))</f>
        <v/>
      </c>
      <c r="M28" s="943"/>
      <c r="N28" s="945"/>
      <c r="O28" s="946"/>
      <c r="P28" s="939" t="str">
        <f>IF(C28="","",INDEX(STDHVAC_N[Eff Unit 2],MATCH(C28,STDHVAC_N[Measure Name],0)))</f>
        <v/>
      </c>
      <c r="Q28" s="940"/>
      <c r="R28" s="943" t="str">
        <f>IF(C28="","",INDEX(STDHVAC_N[Base Efficiency 2],MATCH(C28,STDHVAC_N[Measure Name],0)))</f>
        <v/>
      </c>
      <c r="S28" s="943"/>
      <c r="T28" s="949" t="str">
        <f t="shared" ref="T28" si="9">IF(AND(ISNUMBER(SEARCH("DX",C28)),ISNUMBER(SEARCH("&lt;65 kbtu",C28)),N28&lt;&gt;""),1.12*N28-0.02*N28^2,IF(ISNUMBER(SEARCH("PTAC",C28)),1,""))</f>
        <v/>
      </c>
      <c r="U28" s="950"/>
      <c r="V28" s="955"/>
      <c r="W28" s="956"/>
      <c r="X28" s="993"/>
      <c r="Y28" s="994"/>
      <c r="Z28" s="995"/>
      <c r="AA28" s="1015"/>
      <c r="AB28" s="889"/>
      <c r="AC28" s="889"/>
      <c r="AD28" s="935"/>
      <c r="AE28" s="977"/>
      <c r="AF28" s="978"/>
      <c r="AG28" s="978"/>
      <c r="AH28" s="981"/>
      <c r="AI28" s="985" t="str">
        <f>IF(C28="","",INDEX(STDHVAC_N[Current Unit],MATCH(C28,STDHVAC_N[Measure Name],0)))</f>
        <v/>
      </c>
      <c r="AJ28" s="985"/>
      <c r="AK28" s="985"/>
      <c r="AL28" s="986"/>
      <c r="AM28" s="998" t="str">
        <f>IFERROR(IF(C28="","",INDEX(IF(AND(ACTIVEBONUS_N = TRUE,INDEX(STDHVAC_N[Bonus Incentive],MATCH(C28,STDHVAC_N[Measure Name],0))&lt;&gt; ""),STDHVAC_N[Bonus Incentive],STDHVAC_N[Base Incentive]),MATCH(C28,STDHVAC_N[Measure Name],0))),"")</f>
        <v/>
      </c>
      <c r="AN28" s="999"/>
      <c r="AO28" s="987" t="str">
        <f>IFERROR(IF(OR(C28="",N28="",V28="",AA28="",T28="",AE28="",AG28=""),"",BF28),"")</f>
        <v/>
      </c>
      <c r="AP28" s="987"/>
      <c r="AQ28" s="987"/>
      <c r="AR28" s="969" t="str">
        <f>IFERROR(IF(OR(C28="",N28="",V28="",AA28="",T28="",AE28="",AG28=""),"",IF(BK28&lt;&gt;"",BK28,IF(BT28&gt;0,BT28,ROUND(IF(AO28&lt;=0,0,MIN(AY28,BH28)), 2)))), "")</f>
        <v/>
      </c>
      <c r="AS28" s="969"/>
      <c r="AT28" s="969"/>
      <c r="AU28" s="969"/>
      <c r="AV28" s="21"/>
      <c r="AY28" s="971" t="str">
        <f>IF(OR(C28="",N28="",V28="",AA28="",T28="",AE28="",AG28=""),"",IF(AO28=0,"",ROUND(AE28+AG28,2)))</f>
        <v/>
      </c>
      <c r="AZ28" s="973" t="str">
        <f>IFERROR(IF(OR(C28="",N28="",V28="",AA28="",T28="",AE28="",AG28=""),"",INDEX(STDHVAC_N[Current Unit],MATCH(C28,STDHVAC_N[Measure Name],0))),"Err")</f>
        <v/>
      </c>
      <c r="BA28" s="975" t="str">
        <f>IF(
OR(C28="",N28="",T28="",V28="",AA28="",AE28="",AG28=""),"",
IF(OR(ISNUMBER(SEARCH("PTAC",C28)),ISNUMBER(SEARCH("PTHP",C28))),
ROUND(V28*INDEX(STDHVAC_N[Electric Energy Savings (Annual kWh/unit)],MATCH(C28,#REF!,0)),4),
ROUND(V28*ABS(N28-L28)*INDEX(STDHVAC_N[Electric Energy Savings (Annual kWh/unit)],MATCH(C28,STDHVAC_N[Measure Name],0)),4)
))</f>
        <v/>
      </c>
      <c r="BB28" s="975" t="str">
        <f>IF(
OR(C28="",N28="",T28="",V28="",AA28="",AE28="",AG28=""),"",
IF(OR(ISNUMBER(SEARCH("PTAC",C28)),ISNUMBER(SEARCH("PTHP",C28))),
ROUND(V28*INDEX(STDHVAC_N[Coincident Peak Demand Savings (kW/unit)],MATCH(C28,STDHVAC_N[Measure Name],0)),4),
ROUND(V28*ABS(N28-L28)*INDEX(STDHVAC_N[Coincident Peak Demand Savings (kW/unit)],MATCH(C28,STDHVAC_N[Measure Name],0)),4)
))</f>
        <v/>
      </c>
      <c r="BC28" s="962"/>
      <c r="BD28" s="962"/>
      <c r="BE28" s="963" t="str">
        <f>IFERROR(IF(OR(C28="",N28="",V28="",AA28="",T28="",AE28="",AG28=""),"",INDEX(STDHVAC_N[End Use],MATCH(C28,STDHVAC_N[Measure Name],0))),"Err")</f>
        <v/>
      </c>
      <c r="BF28" s="965" t="str">
        <f>IF(C28&lt;&gt;"", _xlfn.LET(
_xlpm.Tons_Cool, V28, _xlpm.PLC_Base, L28, _xlpm.PLC_Eff, N28, _xlpm.Tons_Heat, BQ28, _xlpm.Other_Base, R28, _xlpm.Other_Eff, T28,
_xlpm.EFLH_Cool,
INDEX(STDHVAC_N[EFLHcool],MATCH(C28,STDHVAC_N[Measure Name],0)),
_xlpm.EFLH_Heat,
INDEX(STDHVAC_N[EFLHheat],MATCH(C28,STDHVAC_N[Measure Name],0)),
_xlpm.ElecHeat,
INDEX(SPACEHEAT[ELECHEAT],MATCH(N02S03F29,SPACEHEAT[Space Conditioning],0)),
_xlpm.kWhCool,
ROUND(
IF(OR(ISNUMBER(SEARCH("DX", C28)),ISNUMBER(SEARCH("ASHP", C28)), ISNUMBER(SEARCH("PTAC", C28)), ISNUMBER(SEARCH("PTHP", C28)), ISNUMBER(SEARCH("Air-Cooled Chiller", C28)), ISNUMBER(SEARCH("VRF", C28))),
_xlpm.Tons_Cool * (12/_xlpm.PLC_Base - 12/_xlpm.PLC_Eff)*_xlpm.EFLH_Cool,
IF(ISNUMBER(SEARCH("Water", C28)),
_xlpm.Tons_Cool * (_xlpm.PLC_Base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(1/_xlpm.Other_Base - 1/_xlpm.Other_Eff) * _xlpm.EFLH_Heat,
" "
)),4),
0
),
IFERROR(_xlpm.kWhCool + _xlpm.kWhHeat, "Measure Not Specified.")
), "")</f>
        <v/>
      </c>
      <c r="BG28" s="965" t="str">
        <f t="shared" ref="BG28" si="10">IF(C28&lt;&gt;"", _xlfn.LET(
_xlpm.Tons, V28, _xlpm.PCF, 0.913,
IF(AND(ISNUMBER(SEARCH("DX",C28)),ISNUMBER(SEARCH("&lt;65 kbtu",C28))),
_xlpm.Tons * (12/11.42-12/MAX(11.42,T28))*_xlpm.PCF,
IF(OR(ISNUMBER(SEARCH("DX", C28)), ISNUMBER(SEARCH("Air-Cooled Chiller", C28)), ISNUMBER(SEARCH("VRF", C28))),
_xlpm.Tons * (12/R28 - 12/T28) * _xlpm.PCF,
IF(ISNUMBER(SEARCH("Water", C28)),
_xlpm.Tons * (R28-T28) * _xlpm.PCF,
IF(ISNUMBER(SEARCH("ASHP", C28)),
_xlpm.Tons * (12/BO28 - 12/BP28) * _xlpm.PCF,
IF(OR(ISNUMBER(SEARCH("PTAC", C28)), ISNUMBER(SEARCH("PTHP", C28))),
_xlpm.Tons * (12/L28 - 12/N28) * _xlpm.PCF,
"Measure Not Specified.")))))), "")</f>
        <v/>
      </c>
      <c r="BH28" s="1004" t="str">
        <f>IFERROR(IF(AI28="per ton", ROUND(V28*AM28, 2),
IF(AND(ISNUMBER(SEARCH("Air-Cooled Chiller",C28)),AI28="$/ton/IPLV"), ROUND((12/L28-12/N28)*V28*AM28, 2),
ROUND(ABS(N28-L28)*V28*AM28, 2))), "")</f>
        <v/>
      </c>
      <c r="BI28" s="967" t="str">
        <f>IFERROR(IF(OR(C28="",N28="",V28="",AA28="",T28="",AE28="",AG28="",ISNUMBER(AR28)=FALSE,AR28=0),"",INDEX(STDHVAC_N[Measure Number],MATCH(C28,STDHVAC_N[Measure Name],0))),"Err")</f>
        <v/>
      </c>
      <c r="BJ28" s="996" t="str">
        <f>IFERROR(IF(BT28="",IF(AR28 &lt; BH28, "100% Total Cost", ""), ""), "")</f>
        <v/>
      </c>
      <c r="BK28" s="967" t="str">
        <f>IFERROR(
IF(OR(C28="",J28="",L28="",N28="",P28="",R28="",T28="",V28="",AE28="",AG28=""),
"",
IF(BT28&gt;0,"",IF(OR(AND(ISNUMBER(SEARCH("kW/ton", J28)),OR(L28&lt;N28,R28&lt;T28)),AND(NOT(ISNUMBER(SEARCH("kW/ton", J28))),OR(L28&gt;N28,R28&gt;T28))),
"Must Improve Efficiency",
IF(EXPIRATION&lt;&gt;"",PROJSTATEXP,"")))),
"")</f>
        <v/>
      </c>
      <c r="BL28" s="959" t="str">
        <f>IFERROR(INDEX(STDHVAC_N[Measure Life (Years)],MATCH(C28,STDHVAC_N[Measure Name],0)),"")</f>
        <v/>
      </c>
      <c r="BM28" s="787" t="str">
        <f>IFERROR(IF(OR(C28="",N28="",V28="",AA28="",T28="",AE28="",AG28=""),"",
ROUND(((1+ELOSS)*((BA28*INDEX(ELECCB[NPV AEC $/kWh],MATCH(BL28,ELECCB[Year Number],1)))+(BB28*INDEX(ELECCB[NPV ACC $/kW],MATCH(BL28,ELECCB[Year Number],1))))),2)),0)</f>
        <v/>
      </c>
      <c r="BN28" s="1006" t="str">
        <f>IFERROR(IF(INDEX(STDHVAC_N[Eff Unit 3],MATCH(C28,STDHVAC_N[Measure Name],0))="","",INDEX(STDHVAC_N[Eff Unit 3],MATCH(C28,STDHVAC_N[Measure Name],0))),"")</f>
        <v/>
      </c>
      <c r="BO28" s="1008" t="str">
        <f>IFERROR(IF(INDEX(STDHVAC_N[Base Efficiency 3],MATCH(C28,STDHVAC_N[Measure Name],0))="","",INDEX(STDHVAC_N[Base Efficiency 3],MATCH(C28,STDHVAC_N[Measure Name],0))),"")</f>
        <v/>
      </c>
      <c r="BP28" s="1010" t="str">
        <f>IFERROR(IF(ISNUMBER(SEARCH("Air-Cooled Chiller",$C28)),12/N28,""),"")</f>
        <v/>
      </c>
      <c r="BQ28" s="1012"/>
      <c r="BR28" s="1014" t="str">
        <f>IFERROR(IF(BI28="","",INDEX(STDHVAC_N[Reporting Methodology],MATCH(C28,STDHVAC_N[Measure Name],0))),"Err")</f>
        <v/>
      </c>
      <c r="BS28" s="787" t="str">
        <f>IFERROR(IF(OR(C28="",V28=""),"",INDEX(STDHVAC_N[Incremental Measure Cost ($/Unit)],MATCH(C28,STDHVAC_N[Measure Name],0))*V28),"Err")</f>
        <v/>
      </c>
      <c r="BT28" s="853"/>
    </row>
    <row r="29" spans="1:72" ht="15.95" customHeight="1">
      <c r="B29" s="800"/>
      <c r="C29" s="936"/>
      <c r="D29" s="937"/>
      <c r="E29" s="937"/>
      <c r="F29" s="937"/>
      <c r="G29" s="937"/>
      <c r="H29" s="937"/>
      <c r="I29" s="938"/>
      <c r="J29" s="941"/>
      <c r="K29" s="942"/>
      <c r="L29" s="944"/>
      <c r="M29" s="944"/>
      <c r="N29" s="947"/>
      <c r="O29" s="948"/>
      <c r="P29" s="941"/>
      <c r="Q29" s="942"/>
      <c r="R29" s="944"/>
      <c r="S29" s="944"/>
      <c r="T29" s="951"/>
      <c r="U29" s="952"/>
      <c r="V29" s="955"/>
      <c r="W29" s="956"/>
      <c r="X29" s="936"/>
      <c r="Y29" s="937"/>
      <c r="Z29" s="938"/>
      <c r="AA29" s="1016"/>
      <c r="AB29" s="937"/>
      <c r="AC29" s="937"/>
      <c r="AD29" s="938"/>
      <c r="AE29" s="979"/>
      <c r="AF29" s="980"/>
      <c r="AG29" s="980"/>
      <c r="AH29" s="982"/>
      <c r="AI29" s="985"/>
      <c r="AJ29" s="985"/>
      <c r="AK29" s="985"/>
      <c r="AL29" s="986"/>
      <c r="AM29" s="991"/>
      <c r="AN29" s="992"/>
      <c r="AO29" s="988"/>
      <c r="AP29" s="988"/>
      <c r="AQ29" s="988"/>
      <c r="AR29" s="970"/>
      <c r="AS29" s="970"/>
      <c r="AT29" s="970"/>
      <c r="AU29" s="970"/>
      <c r="AV29" s="21"/>
      <c r="AY29" s="972"/>
      <c r="AZ29" s="974"/>
      <c r="BA29" s="976"/>
      <c r="BB29" s="976"/>
      <c r="BC29" s="962"/>
      <c r="BD29" s="962"/>
      <c r="BE29" s="964"/>
      <c r="BF29" s="966"/>
      <c r="BG29" s="966"/>
      <c r="BH29" s="1005"/>
      <c r="BI29" s="968"/>
      <c r="BJ29" s="997"/>
      <c r="BK29" s="968"/>
      <c r="BL29" s="960"/>
      <c r="BM29" s="788"/>
      <c r="BN29" s="1007"/>
      <c r="BO29" s="1009"/>
      <c r="BP29" s="1011"/>
      <c r="BQ29" s="1013"/>
      <c r="BR29" s="849"/>
      <c r="BS29" s="788"/>
      <c r="BT29" s="854"/>
    </row>
    <row r="30" spans="1:72" ht="15.95" customHeight="1">
      <c r="B30" s="800">
        <v>7</v>
      </c>
      <c r="C30" s="993"/>
      <c r="D30" s="994"/>
      <c r="E30" s="994"/>
      <c r="F30" s="994"/>
      <c r="G30" s="994"/>
      <c r="H30" s="994"/>
      <c r="I30" s="995"/>
      <c r="J30" s="939" t="str">
        <f>IF(C30="","",INDEX(STDHVAC_N[Eff Unit 1],MATCH(C30,STDHVAC_N[Measure Name],0)))</f>
        <v/>
      </c>
      <c r="K30" s="940"/>
      <c r="L30" s="943" t="str">
        <f>IF(C30="","",INDEX(STDHVAC_N[Base Efficiency 1],MATCH(C30,STDHVAC_N[Measure Name],0)))</f>
        <v/>
      </c>
      <c r="M30" s="943"/>
      <c r="N30" s="1000"/>
      <c r="O30" s="1001"/>
      <c r="P30" s="939" t="str">
        <f>IF(C30="","",INDEX(STDHVAC_N[Eff Unit 2],MATCH(C30,STDHVAC_N[Measure Name],0)))</f>
        <v/>
      </c>
      <c r="Q30" s="940"/>
      <c r="R30" s="943" t="str">
        <f>IF(C30="","",INDEX(STDHVAC_N[Base Efficiency 2],MATCH(C30,STDHVAC_N[Measure Name],0)))</f>
        <v/>
      </c>
      <c r="S30" s="943"/>
      <c r="T30" s="949" t="str">
        <f t="shared" ref="T30" si="11">IF(AND(ISNUMBER(SEARCH("DX",C30)),ISNUMBER(SEARCH("&lt;65 kbtu",C30)),N30&lt;&gt;""),1.12*N30-0.02*N30^2,IF(ISNUMBER(SEARCH("PTAC",C30)),1,""))</f>
        <v/>
      </c>
      <c r="U30" s="950"/>
      <c r="V30" s="955"/>
      <c r="W30" s="956"/>
      <c r="X30" s="993"/>
      <c r="Y30" s="994"/>
      <c r="Z30" s="995"/>
      <c r="AA30" s="1015"/>
      <c r="AB30" s="889"/>
      <c r="AC30" s="889"/>
      <c r="AD30" s="935"/>
      <c r="AE30" s="977"/>
      <c r="AF30" s="978"/>
      <c r="AG30" s="978"/>
      <c r="AH30" s="981"/>
      <c r="AI30" s="985" t="str">
        <f>IF(C30="","",INDEX(STDHVAC_N[Current Unit],MATCH(C30,STDHVAC_N[Measure Name],0)))</f>
        <v/>
      </c>
      <c r="AJ30" s="985"/>
      <c r="AK30" s="985"/>
      <c r="AL30" s="986"/>
      <c r="AM30" s="998" t="str">
        <f>IFERROR(IF(C30="","",INDEX(IF(AND(ACTIVEBONUS_N = TRUE,INDEX(STDHVAC_N[Bonus Incentive],MATCH(C30,STDHVAC_N[Measure Name],0))&lt;&gt; ""),STDHVAC_N[Bonus Incentive],STDHVAC_N[Base Incentive]),MATCH(C30,STDHVAC_N[Measure Name],0))),"")</f>
        <v/>
      </c>
      <c r="AN30" s="999"/>
      <c r="AO30" s="987" t="str">
        <f>IFERROR(IF(OR(C30="",N30="",V30="",AA30="",T30="",AE30="",AG30=""),"",BF30),"")</f>
        <v/>
      </c>
      <c r="AP30" s="987"/>
      <c r="AQ30" s="987"/>
      <c r="AR30" s="969" t="str">
        <f>IFERROR(IF(OR(C30="",N30="",V30="",AA30="",T30="",AE30="",AG30=""),"",IF(BK30&lt;&gt;"",BK30,IF(BT30&gt;0,BT30,ROUND(IF(AO30&lt;=0,0,MIN(AY30,BH30)), 2)))), "")</f>
        <v/>
      </c>
      <c r="AS30" s="969"/>
      <c r="AT30" s="969"/>
      <c r="AU30" s="969"/>
      <c r="AV30" s="21"/>
      <c r="AY30" s="971" t="str">
        <f>IF(OR(C30="",N30="",V30="",AA30="",T30="",AE30="",AG30=""),"",IF(AO30=0,"",ROUND(AE30+AG30,2)))</f>
        <v/>
      </c>
      <c r="AZ30" s="973" t="str">
        <f>IFERROR(IF(OR(C30="",N30="",V30="",AA30="",T30="",AE30="",AG30=""),"",INDEX(STDHVAC_N[Current Unit],MATCH(C30,STDHVAC_N[Measure Name],0))),"Err")</f>
        <v/>
      </c>
      <c r="BA30" s="975" t="str">
        <f>IF(
OR(C30="",N30="",T30="",V30="",AA30="",AE30="",AG30=""),"",
IF(OR(ISNUMBER(SEARCH("PTAC",C30)),ISNUMBER(SEARCH("PTHP",C30))),
ROUND(V30*INDEX(STDHVAC_N[Electric Energy Savings (Annual kWh/unit)],MATCH(C30,#REF!,0)),4),
ROUND(V30*ABS(N30-L30)*INDEX(STDHVAC_N[Electric Energy Savings (Annual kWh/unit)],MATCH(C30,STDHVAC_N[Measure Name],0)),4)
))</f>
        <v/>
      </c>
      <c r="BB30" s="975" t="str">
        <f>IF(
OR(C30="",N30="",T30="",V30="",AA30="",AE30="",AG30=""),"",
IF(OR(ISNUMBER(SEARCH("PTAC",C30)),ISNUMBER(SEARCH("PTHP",C30))),
ROUND(V30*INDEX(STDHVAC_N[Coincident Peak Demand Savings (kW/unit)],MATCH(C30,STDHVAC_N[Measure Name],0)),4),
ROUND(V30*ABS(N30-L30)*INDEX(STDHVAC_N[Coincident Peak Demand Savings (kW/unit)],MATCH(C30,STDHVAC_N[Measure Name],0)),4)
))</f>
        <v/>
      </c>
      <c r="BC30" s="962"/>
      <c r="BD30" s="962"/>
      <c r="BE30" s="963" t="str">
        <f>IFERROR(IF(OR(C30="",N30="",V30="",AA30="",T30="",AE30="",AG30=""),"",INDEX(STDHVAC_N[End Use],MATCH(C30,STDHVAC_N[Measure Name],0))),"Err")</f>
        <v/>
      </c>
      <c r="BF30" s="965" t="str">
        <f>IF(C30&lt;&gt;"", _xlfn.LET(
_xlpm.Tons_Cool, V30, _xlpm.PLC_Base, L30, _xlpm.PLC_Eff, N30, _xlpm.Tons_Heat, BQ30, _xlpm.Other_Base, R30, _xlpm.Other_Eff, T30,
_xlpm.EFLH_Cool,
INDEX(STDHVAC_N[EFLHcool],MATCH(C30,STDHVAC_N[Measure Name],0)),
_xlpm.EFLH_Heat,
INDEX(STDHVAC_N[EFLHheat],MATCH(C30,STDHVAC_N[Measure Name],0)),
_xlpm.ElecHeat,
INDEX(SPACEHEAT[ELECHEAT],MATCH(N02S03F29,SPACEHEAT[Space Conditioning],0)),
_xlpm.kWhCool,
ROUND(
IF(OR(ISNUMBER(SEARCH("DX", C30)),ISNUMBER(SEARCH("ASHP", C30)), ISNUMBER(SEARCH("PTAC", C30)), ISNUMBER(SEARCH("PTHP", C30)), ISNUMBER(SEARCH("Air-Cooled Chiller", C30)), ISNUMBER(SEARCH("VRF", C30))),
_xlpm.Tons_Cool * (12/_xlpm.PLC_Base - 12/_xlpm.PLC_Eff)*_xlpm.EFLH_Cool,
IF(ISNUMBER(SEARCH("Water", C30)),
_xlpm.Tons_Cool * (_xlpm.PLC_Base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(1/_xlpm.Other_Base - 1/_xlpm.Other_Eff) * _xlpm.EFLH_Heat,
" "
)),4),
0
),
IFERROR(_xlpm.kWhCool + _xlpm.kWhHeat, "Measure Not Specified.")
), "")</f>
        <v/>
      </c>
      <c r="BG30" s="965" t="str">
        <f t="shared" ref="BG30" si="12">IF(C30&lt;&gt;"", _xlfn.LET(
_xlpm.Tons, V30, _xlpm.PCF, 0.913,
IF(AND(ISNUMBER(SEARCH("DX",C30)),ISNUMBER(SEARCH("&lt;65 kbtu",C30))),
_xlpm.Tons * (12/11.42-12/MAX(11.42,T30))*_xlpm.PCF,
IF(OR(ISNUMBER(SEARCH("DX", C30)), ISNUMBER(SEARCH("Air-Cooled Chiller", C30)), ISNUMBER(SEARCH("VRF", C30))),
_xlpm.Tons * (12/R30 - 12/T30) * _xlpm.PCF,
IF(ISNUMBER(SEARCH("Water", C30)),
_xlpm.Tons * (R30-T30) * _xlpm.PCF,
IF(ISNUMBER(SEARCH("ASHP", C30)),
_xlpm.Tons * (12/BO30 - 12/BP30) * _xlpm.PCF,
IF(OR(ISNUMBER(SEARCH("PTAC", C30)), ISNUMBER(SEARCH("PTHP", C30))),
_xlpm.Tons * (12/L30 - 12/N30) * _xlpm.PCF,
"Measure Not Specified.")))))), "")</f>
        <v/>
      </c>
      <c r="BH30" s="1004" t="str">
        <f>IFERROR(IF(AI30="per ton", ROUND(V30*AM30, 2),
IF(AND(ISNUMBER(SEARCH("Air-Cooled Chiller",C30)),AI30="$/ton/IPLV"), ROUND((12/L30-12/N30)*V30*AM30, 2),
ROUND(ABS(N30-L30)*V30*AM30, 2))), "")</f>
        <v/>
      </c>
      <c r="BI30" s="967" t="str">
        <f>IFERROR(IF(OR(C30="",N30="",V30="",AA30="",T30="",AE30="",AG30="",ISNUMBER(AR30)=FALSE,AR30=0),"",INDEX(STDHVAC_N[Measure Number],MATCH(C30,STDHVAC_N[Measure Name],0))),"Err")</f>
        <v/>
      </c>
      <c r="BJ30" s="996" t="str">
        <f>IFERROR(IF(BT30="",IF(AR30 &lt; BH30, "100% Total Cost", ""), ""), "")</f>
        <v/>
      </c>
      <c r="BK30" s="967" t="str">
        <f>IFERROR(
IF(OR(C30="",J30="",L30="",N30="",P30="",R30="",T30="",V30="",AE30="",AG30=""),
"",
IF(BT30&gt;0,"",IF(OR(AND(ISNUMBER(SEARCH("kW/ton", J30)),OR(L30&lt;N30,R30&lt;T30)),AND(NOT(ISNUMBER(SEARCH("kW/ton", J30))),OR(L30&gt;N30,R30&gt;T30))),
"Must Improve Efficiency",
IF(EXPIRATION&lt;&gt;"",PROJSTATEXP,"")))),
"")</f>
        <v/>
      </c>
      <c r="BL30" s="959" t="str">
        <f>IFERROR(INDEX(STDHVAC_N[Measure Life (Years)],MATCH(C30,STDHVAC_N[Measure Name],0)),"")</f>
        <v/>
      </c>
      <c r="BM30" s="787" t="str">
        <f>IFERROR(IF(OR(C30="",N30="",V30="",AA30="",T30="",AE30="",AG30=""),"",
ROUND(((1+ELOSS)*((BA30*INDEX(ELECCB[NPV AEC $/kWh],MATCH(BL30,ELECCB[Year Number],1)))+(BB30*INDEX(ELECCB[NPV ACC $/kW],MATCH(BL30,ELECCB[Year Number],1))))),2)),0)</f>
        <v/>
      </c>
      <c r="BN30" s="1006" t="str">
        <f>IFERROR(IF(INDEX(STDHVAC_N[Eff Unit 3],MATCH(C30,STDHVAC_N[Measure Name],0))="","",INDEX(STDHVAC_N[Eff Unit 3],MATCH(C30,STDHVAC_N[Measure Name],0))),"")</f>
        <v/>
      </c>
      <c r="BO30" s="1008" t="str">
        <f>IFERROR(IF(INDEX(STDHVAC_N[Base Efficiency 3],MATCH(C30,STDHVAC_N[Measure Name],0))="","",INDEX(STDHVAC_N[Base Efficiency 3],MATCH(C30,STDHVAC_N[Measure Name],0))),"")</f>
        <v/>
      </c>
      <c r="BP30" s="1010" t="str">
        <f>IFERROR(IF(ISNUMBER(SEARCH("Air-Cooled Chiller",$C30)),12/N30,""),"")</f>
        <v/>
      </c>
      <c r="BQ30" s="1012"/>
      <c r="BR30" s="1014" t="str">
        <f>IFERROR(IF(BI30="","",INDEX(STDHVAC_N[Reporting Methodology],MATCH(C30,STDHVAC_N[Measure Name],0))),"Err")</f>
        <v/>
      </c>
      <c r="BS30" s="787" t="str">
        <f>IFERROR(IF(OR(C30="",V30=""),"",INDEX(STDHVAC_N[Incremental Measure Cost ($/Unit)],MATCH(C30,STDHVAC_N[Measure Name],0))*V30),"Err")</f>
        <v/>
      </c>
      <c r="BT30" s="853"/>
    </row>
    <row r="31" spans="1:72" ht="15.95" customHeight="1">
      <c r="B31" s="800"/>
      <c r="C31" s="936"/>
      <c r="D31" s="937"/>
      <c r="E31" s="937"/>
      <c r="F31" s="937"/>
      <c r="G31" s="937"/>
      <c r="H31" s="937"/>
      <c r="I31" s="938"/>
      <c r="J31" s="941"/>
      <c r="K31" s="942"/>
      <c r="L31" s="944"/>
      <c r="M31" s="944"/>
      <c r="N31" s="945"/>
      <c r="O31" s="946"/>
      <c r="P31" s="941"/>
      <c r="Q31" s="942"/>
      <c r="R31" s="944"/>
      <c r="S31" s="944"/>
      <c r="T31" s="951"/>
      <c r="U31" s="952"/>
      <c r="V31" s="955"/>
      <c r="W31" s="956"/>
      <c r="X31" s="936"/>
      <c r="Y31" s="937"/>
      <c r="Z31" s="938"/>
      <c r="AA31" s="1016"/>
      <c r="AB31" s="937"/>
      <c r="AC31" s="937"/>
      <c r="AD31" s="938"/>
      <c r="AE31" s="979"/>
      <c r="AF31" s="980"/>
      <c r="AG31" s="980"/>
      <c r="AH31" s="982"/>
      <c r="AI31" s="985"/>
      <c r="AJ31" s="985"/>
      <c r="AK31" s="985"/>
      <c r="AL31" s="986"/>
      <c r="AM31" s="991"/>
      <c r="AN31" s="992"/>
      <c r="AO31" s="988"/>
      <c r="AP31" s="988"/>
      <c r="AQ31" s="988"/>
      <c r="AR31" s="970"/>
      <c r="AS31" s="970"/>
      <c r="AT31" s="970"/>
      <c r="AU31" s="970"/>
      <c r="AV31" s="21"/>
      <c r="AY31" s="972"/>
      <c r="AZ31" s="974"/>
      <c r="BA31" s="976"/>
      <c r="BB31" s="976"/>
      <c r="BC31" s="962"/>
      <c r="BD31" s="962"/>
      <c r="BE31" s="964"/>
      <c r="BF31" s="966"/>
      <c r="BG31" s="966"/>
      <c r="BH31" s="1005"/>
      <c r="BI31" s="968"/>
      <c r="BJ31" s="997"/>
      <c r="BK31" s="968"/>
      <c r="BL31" s="960"/>
      <c r="BM31" s="788"/>
      <c r="BN31" s="1007"/>
      <c r="BO31" s="1009"/>
      <c r="BP31" s="1011"/>
      <c r="BQ31" s="1013"/>
      <c r="BR31" s="849"/>
      <c r="BS31" s="788"/>
      <c r="BT31" s="854"/>
    </row>
    <row r="32" spans="1:72" ht="15.95" customHeight="1">
      <c r="B32" s="800">
        <v>8</v>
      </c>
      <c r="C32" s="993"/>
      <c r="D32" s="994"/>
      <c r="E32" s="994"/>
      <c r="F32" s="994"/>
      <c r="G32" s="994"/>
      <c r="H32" s="994"/>
      <c r="I32" s="995"/>
      <c r="J32" s="939" t="str">
        <f>IF(C32="","",INDEX(STDHVAC_N[Eff Unit 1],MATCH(C32,STDHVAC_N[Measure Name],0)))</f>
        <v/>
      </c>
      <c r="K32" s="940"/>
      <c r="L32" s="943" t="str">
        <f>IF(C32="","",INDEX(STDHVAC_N[Base Efficiency 1],MATCH(C32,STDHVAC_N[Measure Name],0)))</f>
        <v/>
      </c>
      <c r="M32" s="943"/>
      <c r="N32" s="945"/>
      <c r="O32" s="946"/>
      <c r="P32" s="939" t="str">
        <f>IF(C32="","",INDEX(STDHVAC_N[Eff Unit 2],MATCH(C32,STDHVAC_N[Measure Name],0)))</f>
        <v/>
      </c>
      <c r="Q32" s="940"/>
      <c r="R32" s="943" t="str">
        <f>IF(C32="","",INDEX(STDHVAC_N[Base Efficiency 2],MATCH(C32,STDHVAC_N[Measure Name],0)))</f>
        <v/>
      </c>
      <c r="S32" s="943"/>
      <c r="T32" s="949" t="str">
        <f t="shared" ref="T32" si="13">IF(AND(ISNUMBER(SEARCH("DX",C32)),ISNUMBER(SEARCH("&lt;65 kbtu",C32)),N32&lt;&gt;""),1.12*N32-0.02*N32^2,IF(ISNUMBER(SEARCH("PTAC",C32)),1,""))</f>
        <v/>
      </c>
      <c r="U32" s="950"/>
      <c r="V32" s="955"/>
      <c r="W32" s="956"/>
      <c r="X32" s="993"/>
      <c r="Y32" s="994"/>
      <c r="Z32" s="995"/>
      <c r="AA32" s="1015"/>
      <c r="AB32" s="889"/>
      <c r="AC32" s="889"/>
      <c r="AD32" s="935"/>
      <c r="AE32" s="977"/>
      <c r="AF32" s="978"/>
      <c r="AG32" s="978"/>
      <c r="AH32" s="981"/>
      <c r="AI32" s="985" t="str">
        <f>IF(C32="","",INDEX(STDHVAC_N[Current Unit],MATCH(C32,STDHVAC_N[Measure Name],0)))</f>
        <v/>
      </c>
      <c r="AJ32" s="985"/>
      <c r="AK32" s="985"/>
      <c r="AL32" s="986"/>
      <c r="AM32" s="998" t="str">
        <f>IFERROR(IF(C32="","",INDEX(IF(AND(ACTIVEBONUS_N = TRUE,INDEX(STDHVAC_N[Bonus Incentive],MATCH(C32,STDHVAC_N[Measure Name],0))&lt;&gt; ""),STDHVAC_N[Bonus Incentive],STDHVAC_N[Base Incentive]),MATCH(C32,STDHVAC_N[Measure Name],0))),"")</f>
        <v/>
      </c>
      <c r="AN32" s="999"/>
      <c r="AO32" s="987" t="str">
        <f>IFERROR(IF(OR(C32="",N32="",V32="",AA32="",T32="",AE32="",AG32=""),"",BF32),"")</f>
        <v/>
      </c>
      <c r="AP32" s="987"/>
      <c r="AQ32" s="987"/>
      <c r="AR32" s="969" t="str">
        <f>IFERROR(IF(OR(C32="",N32="",V32="",AA32="",T32="",AE32="",AG32=""),"",IF(BK32&lt;&gt;"",BK32,IF(BT32&gt;0,BT32,ROUND(IF(AO32&lt;=0,0,MIN(AY32,BH32)), 2)))), "")</f>
        <v/>
      </c>
      <c r="AS32" s="969"/>
      <c r="AT32" s="969"/>
      <c r="AU32" s="969"/>
      <c r="AV32" s="21"/>
      <c r="AY32" s="971" t="str">
        <f>IF(OR(C32="",N32="",V32="",AA32="",T32="",AE32="",AG32=""),"",IF(AO32=0,"",ROUND(AE32+AG32,2)))</f>
        <v/>
      </c>
      <c r="AZ32" s="973" t="str">
        <f>IFERROR(IF(OR(C32="",N32="",V32="",AA32="",T32="",AE32="",AG32=""),"",INDEX(STDHVAC_N[Current Unit],MATCH(C32,STDHVAC_N[Measure Name],0))),"Err")</f>
        <v/>
      </c>
      <c r="BA32" s="975" t="str">
        <f>IF(
OR(C32="",N32="",T32="",V32="",AA32="",AE32="",AG32=""),"",
IF(OR(ISNUMBER(SEARCH("PTAC",C32)),ISNUMBER(SEARCH("PTHP",C32))),
ROUND(V32*INDEX(STDHVAC_N[Electric Energy Savings (Annual kWh/unit)],MATCH(C32,#REF!,0)),4),
ROUND(V32*ABS(N32-L32)*INDEX(STDHVAC_N[Electric Energy Savings (Annual kWh/unit)],MATCH(C32,STDHVAC_N[Measure Name],0)),4)
))</f>
        <v/>
      </c>
      <c r="BB32" s="975" t="str">
        <f>IF(
OR(C32="",N32="",T32="",V32="",AA32="",AE32="",AG32=""),"",
IF(OR(ISNUMBER(SEARCH("PTAC",C32)),ISNUMBER(SEARCH("PTHP",C32))),
ROUND(V32*INDEX(STDHVAC_N[Coincident Peak Demand Savings (kW/unit)],MATCH(C32,STDHVAC_N[Measure Name],0)),4),
ROUND(V32*ABS(N32-L32)*INDEX(STDHVAC_N[Coincident Peak Demand Savings (kW/unit)],MATCH(C32,STDHVAC_N[Measure Name],0)),4)
))</f>
        <v/>
      </c>
      <c r="BC32" s="962"/>
      <c r="BD32" s="962"/>
      <c r="BE32" s="963" t="str">
        <f>IFERROR(IF(OR(C32="",N32="",V32="",AA32="",T32="",AE32="",AG32=""),"",INDEX(STDHVAC_N[End Use],MATCH(C32,STDHVAC_N[Measure Name],0))),"Err")</f>
        <v/>
      </c>
      <c r="BF32" s="965" t="str">
        <f>IF(C32&lt;&gt;"", _xlfn.LET(
_xlpm.Tons_Cool, V32, _xlpm.PLC_Base, L32, _xlpm.PLC_Eff, N32, _xlpm.Tons_Heat, BQ32, _xlpm.Other_Base, R32, _xlpm.Other_Eff, T32,
_xlpm.EFLH_Cool,
INDEX(STDHVAC_N[EFLHcool],MATCH(C32,STDHVAC_N[Measure Name],0)),
_xlpm.EFLH_Heat,
INDEX(STDHVAC_N[EFLHheat],MATCH(C32,STDHVAC_N[Measure Name],0)),
_xlpm.ElecHeat,
INDEX(SPACEHEAT[ELECHEAT],MATCH(N02S03F29,SPACEHEAT[Space Conditioning],0)),
_xlpm.kWhCool,
ROUND(
IF(OR(ISNUMBER(SEARCH("DX", C32)),ISNUMBER(SEARCH("ASHP", C32)), ISNUMBER(SEARCH("PTAC", C32)), ISNUMBER(SEARCH("PTHP", C32)), ISNUMBER(SEARCH("Air-Cooled Chiller", C32)), ISNUMBER(SEARCH("VRF", C32))),
_xlpm.Tons_Cool * (12/_xlpm.PLC_Base - 12/_xlpm.PLC_Eff)*_xlpm.EFLH_Cool,
IF(ISNUMBER(SEARCH("Water", C32)),
_xlpm.Tons_Cool * (_xlpm.PLC_Base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(1/_xlpm.Other_Base - 1/_xlpm.Other_Eff) * _xlpm.EFLH_Heat,
" "
)),4),
0
),
IFERROR(_xlpm.kWhCool + _xlpm.kWhHeat, "Measure Not Specified.")
), "")</f>
        <v/>
      </c>
      <c r="BG32" s="965" t="str">
        <f t="shared" ref="BG32" si="14">IF(C32&lt;&gt;"", _xlfn.LET(
_xlpm.Tons, V32, _xlpm.PCF, 0.913,
IF(AND(ISNUMBER(SEARCH("DX",C32)),ISNUMBER(SEARCH("&lt;65 kbtu",C32))),
_xlpm.Tons * (12/11.42-12/MAX(11.42,T32))*_xlpm.PCF,
IF(OR(ISNUMBER(SEARCH("DX", C32)), ISNUMBER(SEARCH("Air-Cooled Chiller", C32)), ISNUMBER(SEARCH("VRF", C32))),
_xlpm.Tons * (12/R32 - 12/T32) * _xlpm.PCF,
IF(ISNUMBER(SEARCH("Water", C32)),
_xlpm.Tons * (R32-T32) * _xlpm.PCF,
IF(ISNUMBER(SEARCH("ASHP", C32)),
_xlpm.Tons * (12/BO32 - 12/BP32) * _xlpm.PCF,
IF(OR(ISNUMBER(SEARCH("PTAC", C32)), ISNUMBER(SEARCH("PTHP", C32))),
_xlpm.Tons * (12/L32 - 12/N32) * _xlpm.PCF,
"Measure Not Specified.")))))), "")</f>
        <v/>
      </c>
      <c r="BH32" s="1004" t="str">
        <f>IFERROR(IF(AI32="per ton", ROUND(V32*AM32, 2),
IF(AND(ISNUMBER(SEARCH("Air-Cooled Chiller",C32)),AI32="$/ton/IPLV"), ROUND((12/L32-12/N32)*V32*AM32, 2),
ROUND(ABS(N32-L32)*V32*AM32, 2))), "")</f>
        <v/>
      </c>
      <c r="BI32" s="967" t="str">
        <f>IFERROR(IF(OR(C32="",N32="",V32="",AA32="",T32="",AE32="",AG32="",ISNUMBER(AR32)=FALSE,AR32=0),"",INDEX(STDHVAC_N[Measure Number],MATCH(C32,STDHVAC_N[Measure Name],0))),"Err")</f>
        <v/>
      </c>
      <c r="BJ32" s="996" t="str">
        <f>IFERROR(IF(BT32="",IF(AR32 &lt; BH32, "100% Total Cost", ""), ""), "")</f>
        <v/>
      </c>
      <c r="BK32" s="967" t="str">
        <f>IFERROR(
IF(OR(C32="",J32="",L32="",N32="",P32="",R32="",T32="",V32="",AE32="",AG32=""),
"",
IF(BT32&gt;0,"",IF(OR(AND(ISNUMBER(SEARCH("kW/ton", J32)),OR(L32&lt;N32,R32&lt;T32)),AND(NOT(ISNUMBER(SEARCH("kW/ton", J32))),OR(L32&gt;N32,R32&gt;T32))),
"Must Improve Efficiency",
IF(EXPIRATION&lt;&gt;"",PROJSTATEXP,"")))),
"")</f>
        <v/>
      </c>
      <c r="BL32" s="959" t="str">
        <f>IFERROR(INDEX(STDHVAC_N[Measure Life (Years)],MATCH(C32,STDHVAC_N[Measure Name],0)),"")</f>
        <v/>
      </c>
      <c r="BM32" s="787" t="str">
        <f>IFERROR(IF(OR(C32="",N32="",V32="",AA32="",T32="",AE32="",AG32=""),"",
ROUND(((1+ELOSS)*((BA32*INDEX(ELECCB[NPV AEC $/kWh],MATCH(BL32,ELECCB[Year Number],1)))+(BB32*INDEX(ELECCB[NPV ACC $/kW],MATCH(BL32,ELECCB[Year Number],1))))),2)),0)</f>
        <v/>
      </c>
      <c r="BN32" s="1006" t="str">
        <f>IFERROR(IF(INDEX(STDHVAC_N[Eff Unit 3],MATCH(C32,STDHVAC_N[Measure Name],0))="","",INDEX(STDHVAC_N[Eff Unit 3],MATCH(C32,STDHVAC_N[Measure Name],0))),"")</f>
        <v/>
      </c>
      <c r="BO32" s="1008" t="str">
        <f>IFERROR(IF(INDEX(STDHVAC_N[Base Efficiency 3],MATCH(C32,STDHVAC_N[Measure Name],0))="","",INDEX(STDHVAC_N[Base Efficiency 3],MATCH(C32,STDHVAC_N[Measure Name],0))),"")</f>
        <v/>
      </c>
      <c r="BP32" s="1010" t="str">
        <f>IFERROR(IF(ISNUMBER(SEARCH("Air-Cooled Chiller",$C32)),12/N32,""),"")</f>
        <v/>
      </c>
      <c r="BQ32" s="1012"/>
      <c r="BR32" s="1014" t="str">
        <f>IFERROR(IF(BI32="","",INDEX(STDHVAC_N[Reporting Methodology],MATCH(C32,STDHVAC_N[Measure Name],0))),"Err")</f>
        <v/>
      </c>
      <c r="BS32" s="787" t="str">
        <f>IFERROR(IF(OR(C32="",V32=""),"",INDEX(STDHVAC_N[Incremental Measure Cost ($/Unit)],MATCH(C32,STDHVAC_N[Measure Name],0))*V32),"Err")</f>
        <v/>
      </c>
      <c r="BT32" s="853"/>
    </row>
    <row r="33" spans="2:72" ht="15.95" customHeight="1">
      <c r="B33" s="800"/>
      <c r="C33" s="936"/>
      <c r="D33" s="937"/>
      <c r="E33" s="937"/>
      <c r="F33" s="937"/>
      <c r="G33" s="937"/>
      <c r="H33" s="937"/>
      <c r="I33" s="938"/>
      <c r="J33" s="941"/>
      <c r="K33" s="942"/>
      <c r="L33" s="944"/>
      <c r="M33" s="944"/>
      <c r="N33" s="947"/>
      <c r="O33" s="948"/>
      <c r="P33" s="941"/>
      <c r="Q33" s="942"/>
      <c r="R33" s="944"/>
      <c r="S33" s="944"/>
      <c r="T33" s="951"/>
      <c r="U33" s="952"/>
      <c r="V33" s="955"/>
      <c r="W33" s="956"/>
      <c r="X33" s="936"/>
      <c r="Y33" s="937"/>
      <c r="Z33" s="938"/>
      <c r="AA33" s="1016"/>
      <c r="AB33" s="937"/>
      <c r="AC33" s="937"/>
      <c r="AD33" s="938"/>
      <c r="AE33" s="979"/>
      <c r="AF33" s="980"/>
      <c r="AG33" s="980"/>
      <c r="AH33" s="982"/>
      <c r="AI33" s="985"/>
      <c r="AJ33" s="985"/>
      <c r="AK33" s="985"/>
      <c r="AL33" s="986"/>
      <c r="AM33" s="991"/>
      <c r="AN33" s="992"/>
      <c r="AO33" s="988"/>
      <c r="AP33" s="988"/>
      <c r="AQ33" s="988"/>
      <c r="AR33" s="970"/>
      <c r="AS33" s="970"/>
      <c r="AT33" s="970"/>
      <c r="AU33" s="970"/>
      <c r="AV33" s="21"/>
      <c r="AY33" s="972"/>
      <c r="AZ33" s="974"/>
      <c r="BA33" s="976"/>
      <c r="BB33" s="976"/>
      <c r="BC33" s="962"/>
      <c r="BD33" s="962"/>
      <c r="BE33" s="964"/>
      <c r="BF33" s="966"/>
      <c r="BG33" s="966"/>
      <c r="BH33" s="1005"/>
      <c r="BI33" s="968"/>
      <c r="BJ33" s="997"/>
      <c r="BK33" s="968"/>
      <c r="BL33" s="960"/>
      <c r="BM33" s="788"/>
      <c r="BN33" s="1007"/>
      <c r="BO33" s="1009"/>
      <c r="BP33" s="1011"/>
      <c r="BQ33" s="1013"/>
      <c r="BR33" s="849"/>
      <c r="BS33" s="788"/>
      <c r="BT33" s="854"/>
    </row>
    <row r="34" spans="2:72" ht="15.95" customHeight="1">
      <c r="B34" s="800">
        <v>9</v>
      </c>
      <c r="C34" s="993"/>
      <c r="D34" s="994"/>
      <c r="E34" s="994"/>
      <c r="F34" s="994"/>
      <c r="G34" s="994"/>
      <c r="H34" s="994"/>
      <c r="I34" s="995"/>
      <c r="J34" s="939" t="str">
        <f>IF(C34="","",INDEX(STDHVAC_N[Eff Unit 1],MATCH(C34,STDHVAC_N[Measure Name],0)))</f>
        <v/>
      </c>
      <c r="K34" s="940"/>
      <c r="L34" s="943" t="str">
        <f>IF(C34="","",INDEX(STDHVAC_N[Base Efficiency 1],MATCH(C34,STDHVAC_N[Measure Name],0)))</f>
        <v/>
      </c>
      <c r="M34" s="943"/>
      <c r="N34" s="945"/>
      <c r="O34" s="946"/>
      <c r="P34" s="939" t="str">
        <f>IF(C34="","",INDEX(STDHVAC_N[Eff Unit 2],MATCH(C34,STDHVAC_N[Measure Name],0)))</f>
        <v/>
      </c>
      <c r="Q34" s="940"/>
      <c r="R34" s="943" t="str">
        <f>IF(C34="","",INDEX(STDHVAC_N[Base Efficiency 2],MATCH(C34,STDHVAC_N[Measure Name],0)))</f>
        <v/>
      </c>
      <c r="S34" s="943"/>
      <c r="T34" s="949" t="str">
        <f t="shared" ref="T34" si="15">IF(AND(ISNUMBER(SEARCH("DX",C34)),ISNUMBER(SEARCH("&lt;65 kbtu",C34)),N34&lt;&gt;""),1.12*N34-0.02*N34^2,IF(ISNUMBER(SEARCH("PTAC",C34)),1,""))</f>
        <v/>
      </c>
      <c r="U34" s="950"/>
      <c r="V34" s="955"/>
      <c r="W34" s="956"/>
      <c r="X34" s="993"/>
      <c r="Y34" s="994"/>
      <c r="Z34" s="995"/>
      <c r="AA34" s="1015"/>
      <c r="AB34" s="889"/>
      <c r="AC34" s="889"/>
      <c r="AD34" s="935"/>
      <c r="AE34" s="977"/>
      <c r="AF34" s="978"/>
      <c r="AG34" s="978"/>
      <c r="AH34" s="981"/>
      <c r="AI34" s="985" t="str">
        <f>IF(C34="","",INDEX(STDHVAC_N[Current Unit],MATCH(C34,STDHVAC_N[Measure Name],0)))</f>
        <v/>
      </c>
      <c r="AJ34" s="985"/>
      <c r="AK34" s="985"/>
      <c r="AL34" s="986"/>
      <c r="AM34" s="998" t="str">
        <f>IFERROR(IF(C34="","",INDEX(IF(AND(ACTIVEBONUS_N = TRUE,INDEX(STDHVAC_N[Bonus Incentive],MATCH(C34,STDHVAC_N[Measure Name],0))&lt;&gt; ""),STDHVAC_N[Bonus Incentive],STDHVAC_N[Base Incentive]),MATCH(C34,STDHVAC_N[Measure Name],0))),"")</f>
        <v/>
      </c>
      <c r="AN34" s="999"/>
      <c r="AO34" s="987" t="str">
        <f>IFERROR(IF(OR(C34="",N34="",V34="",AA34="",T34="",AE34="",AG34=""),"",BF34),"")</f>
        <v/>
      </c>
      <c r="AP34" s="987"/>
      <c r="AQ34" s="987"/>
      <c r="AR34" s="969" t="str">
        <f>IFERROR(IF(OR(C34="",N34="",V34="",AA34="",T34="",AE34="",AG34=""),"",IF(BK34&lt;&gt;"",BK34,IF(BT34&gt;0,BT34,ROUND(IF(AO34&lt;=0,0,MIN(AY34,BH34)), 2)))), "")</f>
        <v/>
      </c>
      <c r="AS34" s="969"/>
      <c r="AT34" s="969"/>
      <c r="AU34" s="969"/>
      <c r="AV34" s="21"/>
      <c r="AY34" s="971" t="str">
        <f>IF(OR(C34="",N34="",V34="",AA34="",T34="",AE34="",AG34=""),"",IF(AO34=0,"",ROUND(AE34+AG34,2)))</f>
        <v/>
      </c>
      <c r="AZ34" s="973" t="str">
        <f>IFERROR(IF(OR(C34="",N34="",V34="",AA34="",T34="",AE34="",AG34=""),"",INDEX(STDHVAC_N[Current Unit],MATCH(C34,STDHVAC_N[Measure Name],0))),"Err")</f>
        <v/>
      </c>
      <c r="BA34" s="975" t="str">
        <f>IF(
OR(C34="",N34="",T34="",V34="",AA34="",AE34="",AG34=""),"",
IF(OR(ISNUMBER(SEARCH("PTAC",C34)),ISNUMBER(SEARCH("PTHP",C34))),
ROUND(V34*INDEX(STDHVAC_N[Electric Energy Savings (Annual kWh/unit)],MATCH(C34,#REF!,0)),4),
ROUND(V34*ABS(N34-L34)*INDEX(STDHVAC_N[Electric Energy Savings (Annual kWh/unit)],MATCH(C34,STDHVAC_N[Measure Name],0)),4)
))</f>
        <v/>
      </c>
      <c r="BB34" s="975" t="str">
        <f>IF(
OR(C34="",N34="",T34="",V34="",AA34="",AE34="",AG34=""),"",
IF(OR(ISNUMBER(SEARCH("PTAC",C34)),ISNUMBER(SEARCH("PTHP",C34))),
ROUND(V34*INDEX(STDHVAC_N[Coincident Peak Demand Savings (kW/unit)],MATCH(C34,STDHVAC_N[Measure Name],0)),4),
ROUND(V34*ABS(N34-L34)*INDEX(STDHVAC_N[Coincident Peak Demand Savings (kW/unit)],MATCH(C34,STDHVAC_N[Measure Name],0)),4)
))</f>
        <v/>
      </c>
      <c r="BC34" s="962"/>
      <c r="BD34" s="962"/>
      <c r="BE34" s="963" t="str">
        <f>IFERROR(IF(OR(C34="",N34="",V34="",AA34="",T34="",AE34="",AG34=""),"",INDEX(STDHVAC_N[End Use],MATCH(C34,STDHVAC_N[Measure Name],0))),"Err")</f>
        <v/>
      </c>
      <c r="BF34" s="965" t="str">
        <f>IF(C34&lt;&gt;"", _xlfn.LET(
_xlpm.Tons_Cool, V34, _xlpm.PLC_Base, L34, _xlpm.PLC_Eff, N34, _xlpm.Tons_Heat, BQ34, _xlpm.Other_Base, R34, _xlpm.Other_Eff, T34,
_xlpm.EFLH_Cool,
INDEX(STDHVAC_N[EFLHcool],MATCH(C34,STDHVAC_N[Measure Name],0)),
_xlpm.EFLH_Heat,
INDEX(STDHVAC_N[EFLHheat],MATCH(C34,STDHVAC_N[Measure Name],0)),
_xlpm.ElecHeat,
INDEX(SPACEHEAT[ELECHEAT],MATCH(N02S03F29,SPACEHEAT[Space Conditioning],0)),
_xlpm.kWhCool,
ROUND(
IF(OR(ISNUMBER(SEARCH("DX", C34)),ISNUMBER(SEARCH("ASHP", C34)), ISNUMBER(SEARCH("PTAC", C34)), ISNUMBER(SEARCH("PTHP", C34)), ISNUMBER(SEARCH("Air-Cooled Chiller", C34)), ISNUMBER(SEARCH("VRF", C34))),
_xlpm.Tons_Cool * (12/_xlpm.PLC_Base - 12/_xlpm.PLC_Eff)*_xlpm.EFLH_Cool,
IF(ISNUMBER(SEARCH("Water", C34)),
_xlpm.Tons_Cool * (_xlpm.PLC_Base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(1/_xlpm.Other_Base - 1/_xlpm.Other_Eff) * _xlpm.EFLH_Heat,
" "
)),4),
0
),
IFERROR(_xlpm.kWhCool + _xlpm.kWhHeat, "Measure Not Specified.")
), "")</f>
        <v/>
      </c>
      <c r="BG34" s="965" t="str">
        <f t="shared" ref="BG34" si="16">IF(C34&lt;&gt;"", _xlfn.LET(
_xlpm.Tons, V34, _xlpm.PCF, 0.913,
IF(AND(ISNUMBER(SEARCH("DX",C34)),ISNUMBER(SEARCH("&lt;65 kbtu",C34))),
_xlpm.Tons * (12/11.42-12/MAX(11.42,T34))*_xlpm.PCF,
IF(OR(ISNUMBER(SEARCH("DX", C34)), ISNUMBER(SEARCH("Air-Cooled Chiller", C34)), ISNUMBER(SEARCH("VRF", C34))),
_xlpm.Tons * (12/R34 - 12/T34) * _xlpm.PCF,
IF(ISNUMBER(SEARCH("Water", C34)),
_xlpm.Tons * (R34-T34) * _xlpm.PCF,
IF(ISNUMBER(SEARCH("ASHP", C34)),
_xlpm.Tons * (12/BO34 - 12/BP34) * _xlpm.PCF,
IF(OR(ISNUMBER(SEARCH("PTAC", C34)), ISNUMBER(SEARCH("PTHP", C34))),
_xlpm.Tons * (12/L34 - 12/N34) * _xlpm.PCF,
"Measure Not Specified.")))))), "")</f>
        <v/>
      </c>
      <c r="BH34" s="1004" t="str">
        <f>IFERROR(IF(AI34="per ton", ROUND(V34*AM34, 2),
IF(AND(ISNUMBER(SEARCH("Air-Cooled Chiller",C34)),AI34="$/ton/IPLV"), ROUND((12/L34-12/N34)*V34*AM34, 2),
ROUND(ABS(N34-L34)*V34*AM34, 2))), "")</f>
        <v/>
      </c>
      <c r="BI34" s="967" t="str">
        <f>IFERROR(IF(OR(C34="",N34="",V34="",AA34="",T34="",AE34="",AG34="",ISNUMBER(AR34)=FALSE,AR34=0),"",INDEX(STDHVAC_N[Measure Number],MATCH(C34,STDHVAC_N[Measure Name],0))),"Err")</f>
        <v/>
      </c>
      <c r="BJ34" s="996" t="str">
        <f>IFERROR(IF(BT34="",IF(AR34 &lt; BH34, "100% Total Cost", ""), ""), "")</f>
        <v/>
      </c>
      <c r="BK34" s="967" t="str">
        <f>IFERROR(
IF(OR(C34="",J34="",L34="",N34="",P34="",R34="",T34="",V34="",AE34="",AG34=""),
"",
IF(BT34&gt;0,"",IF(OR(AND(ISNUMBER(SEARCH("kW/ton", J34)),OR(L34&lt;N34,R34&lt;T34)),AND(NOT(ISNUMBER(SEARCH("kW/ton", J34))),OR(L34&gt;N34,R34&gt;T34))),
"Must Improve Efficiency",
IF(EXPIRATION&lt;&gt;"",PROJSTATEXP,"")))),
"")</f>
        <v/>
      </c>
      <c r="BL34" s="959" t="str">
        <f>IFERROR(INDEX(STDHVAC_N[Measure Life (Years)],MATCH(C34,STDHVAC_N[Measure Name],0)),"")</f>
        <v/>
      </c>
      <c r="BM34" s="787" t="str">
        <f>IFERROR(IF(OR(C34="",N34="",V34="",AA34="",T34="",AE34="",AG34=""),"",
ROUND(((1+ELOSS)*((BA34*INDEX(ELECCB[NPV AEC $/kWh],MATCH(BL34,ELECCB[Year Number],1)))+(BB34*INDEX(ELECCB[NPV ACC $/kW],MATCH(BL34,ELECCB[Year Number],1))))),2)),0)</f>
        <v/>
      </c>
      <c r="BN34" s="1006" t="str">
        <f>IFERROR(IF(INDEX(STDHVAC_N[Eff Unit 3],MATCH(C34,STDHVAC_N[Measure Name],0))="","",INDEX(STDHVAC_N[Eff Unit 3],MATCH(C34,STDHVAC_N[Measure Name],0))),"")</f>
        <v/>
      </c>
      <c r="BO34" s="1008" t="str">
        <f>IFERROR(IF(INDEX(STDHVAC_N[Base Efficiency 3],MATCH(C34,STDHVAC_N[Measure Name],0))="","",INDEX(STDHVAC_N[Base Efficiency 3],MATCH(C34,STDHVAC_N[Measure Name],0))),"")</f>
        <v/>
      </c>
      <c r="BP34" s="1010" t="str">
        <f>IFERROR(IF(ISNUMBER(SEARCH("Air-Cooled Chiller",$C34)),12/N34,""),"")</f>
        <v/>
      </c>
      <c r="BQ34" s="1012"/>
      <c r="BR34" s="1014" t="str">
        <f>IFERROR(IF(BI34="","",INDEX(STDHVAC_N[Reporting Methodology],MATCH(C34,STDHVAC_N[Measure Name],0))),"Err")</f>
        <v/>
      </c>
      <c r="BS34" s="787" t="str">
        <f>IFERROR(IF(OR(C34="",V34=""),"",INDEX(STDHVAC_N[Incremental Measure Cost ($/Unit)],MATCH(C34,STDHVAC_N[Measure Name],0))*V34),"Err")</f>
        <v/>
      </c>
      <c r="BT34" s="853"/>
    </row>
    <row r="35" spans="2:72" ht="15.95" customHeight="1">
      <c r="B35" s="800"/>
      <c r="C35" s="936"/>
      <c r="D35" s="937"/>
      <c r="E35" s="937"/>
      <c r="F35" s="937"/>
      <c r="G35" s="937"/>
      <c r="H35" s="937"/>
      <c r="I35" s="938"/>
      <c r="J35" s="941"/>
      <c r="K35" s="942"/>
      <c r="L35" s="944"/>
      <c r="M35" s="944"/>
      <c r="N35" s="947"/>
      <c r="O35" s="948"/>
      <c r="P35" s="941"/>
      <c r="Q35" s="942"/>
      <c r="R35" s="944"/>
      <c r="S35" s="944"/>
      <c r="T35" s="951"/>
      <c r="U35" s="952"/>
      <c r="V35" s="955"/>
      <c r="W35" s="956"/>
      <c r="X35" s="936"/>
      <c r="Y35" s="937"/>
      <c r="Z35" s="938"/>
      <c r="AA35" s="1016"/>
      <c r="AB35" s="937"/>
      <c r="AC35" s="937"/>
      <c r="AD35" s="938"/>
      <c r="AE35" s="979"/>
      <c r="AF35" s="980"/>
      <c r="AG35" s="980"/>
      <c r="AH35" s="982"/>
      <c r="AI35" s="985"/>
      <c r="AJ35" s="985"/>
      <c r="AK35" s="985"/>
      <c r="AL35" s="986"/>
      <c r="AM35" s="991"/>
      <c r="AN35" s="992"/>
      <c r="AO35" s="988"/>
      <c r="AP35" s="988"/>
      <c r="AQ35" s="988"/>
      <c r="AR35" s="970"/>
      <c r="AS35" s="970"/>
      <c r="AT35" s="970"/>
      <c r="AU35" s="970"/>
      <c r="AV35" s="21"/>
      <c r="AY35" s="972"/>
      <c r="AZ35" s="974"/>
      <c r="BA35" s="976"/>
      <c r="BB35" s="976"/>
      <c r="BC35" s="962"/>
      <c r="BD35" s="962"/>
      <c r="BE35" s="964"/>
      <c r="BF35" s="966"/>
      <c r="BG35" s="966"/>
      <c r="BH35" s="1005"/>
      <c r="BI35" s="968"/>
      <c r="BJ35" s="997"/>
      <c r="BK35" s="968"/>
      <c r="BL35" s="960"/>
      <c r="BM35" s="788"/>
      <c r="BN35" s="1007"/>
      <c r="BO35" s="1009"/>
      <c r="BP35" s="1011"/>
      <c r="BQ35" s="1013"/>
      <c r="BR35" s="849"/>
      <c r="BS35" s="788"/>
      <c r="BT35" s="854"/>
    </row>
    <row r="36" spans="2:72" ht="15.95" customHeight="1">
      <c r="B36" s="800">
        <v>10</v>
      </c>
      <c r="C36" s="993"/>
      <c r="D36" s="994"/>
      <c r="E36" s="994"/>
      <c r="F36" s="994"/>
      <c r="G36" s="994"/>
      <c r="H36" s="994"/>
      <c r="I36" s="995"/>
      <c r="J36" s="939" t="str">
        <f>IF(C36="","",INDEX(STDHVAC_N[Eff Unit 1],MATCH(C36,STDHVAC_N[Measure Name],0)))</f>
        <v/>
      </c>
      <c r="K36" s="940"/>
      <c r="L36" s="943" t="str">
        <f>IF(C36="","",INDEX(STDHVAC_N[Base Efficiency 1],MATCH(C36,STDHVAC_N[Measure Name],0)))</f>
        <v/>
      </c>
      <c r="M36" s="943"/>
      <c r="N36" s="945"/>
      <c r="O36" s="946"/>
      <c r="P36" s="939" t="str">
        <f>IF(C36="","",INDEX(STDHVAC_N[Eff Unit 2],MATCH(C36,STDHVAC_N[Measure Name],0)))</f>
        <v/>
      </c>
      <c r="Q36" s="940"/>
      <c r="R36" s="943" t="str">
        <f>IF(C36="","",INDEX(STDHVAC_N[Base Efficiency 2],MATCH(C36,STDHVAC_N[Measure Name],0)))</f>
        <v/>
      </c>
      <c r="S36" s="943"/>
      <c r="T36" s="949" t="str">
        <f t="shared" ref="T36" si="17">IF(AND(ISNUMBER(SEARCH("DX",C36)),ISNUMBER(SEARCH("&lt;65 kbtu",C36)),N36&lt;&gt;""),1.12*N36-0.02*N36^2,IF(ISNUMBER(SEARCH("PTAC",C36)),1,""))</f>
        <v/>
      </c>
      <c r="U36" s="950"/>
      <c r="V36" s="955"/>
      <c r="W36" s="956"/>
      <c r="X36" s="993"/>
      <c r="Y36" s="994"/>
      <c r="Z36" s="995"/>
      <c r="AA36" s="1015"/>
      <c r="AB36" s="889"/>
      <c r="AC36" s="889"/>
      <c r="AD36" s="935"/>
      <c r="AE36" s="977"/>
      <c r="AF36" s="978"/>
      <c r="AG36" s="978"/>
      <c r="AH36" s="981"/>
      <c r="AI36" s="985" t="str">
        <f>IF(C36="","",INDEX(STDHVAC_N[Current Unit],MATCH(C36,STDHVAC_N[Measure Name],0)))</f>
        <v/>
      </c>
      <c r="AJ36" s="985"/>
      <c r="AK36" s="985"/>
      <c r="AL36" s="986"/>
      <c r="AM36" s="998" t="str">
        <f>IFERROR(IF(C36="","",INDEX(IF(AND(ACTIVEBONUS_N = TRUE,INDEX(STDHVAC_N[Bonus Incentive],MATCH(C36,STDHVAC_N[Measure Name],0))&lt;&gt; ""),STDHVAC_N[Bonus Incentive],STDHVAC_N[Base Incentive]),MATCH(C36,STDHVAC_N[Measure Name],0))),"")</f>
        <v/>
      </c>
      <c r="AN36" s="999"/>
      <c r="AO36" s="987" t="str">
        <f>IFERROR(IF(OR(C36="",N36="",V36="",AA36="",T36="",AE36="",AG36=""),"",BF36),"")</f>
        <v/>
      </c>
      <c r="AP36" s="987"/>
      <c r="AQ36" s="987"/>
      <c r="AR36" s="969" t="str">
        <f>IFERROR(IF(OR(C36="",N36="",V36="",AA36="",T36="",AE36="",AG36=""),"",IF(BK36&lt;&gt;"",BK36,IF(BT36&gt;0,BT36,ROUND(IF(AO36&lt;=0,0,MIN(AY36,BH36)), 2)))), "")</f>
        <v/>
      </c>
      <c r="AS36" s="969"/>
      <c r="AT36" s="969"/>
      <c r="AU36" s="969"/>
      <c r="AV36" s="21"/>
      <c r="AY36" s="971" t="str">
        <f>IF(OR(C36="",N36="",V36="",AA36="",T36="",AE36="",AG36=""),"",IF(AO36=0,"",ROUND(AE36+AG36,2)))</f>
        <v/>
      </c>
      <c r="AZ36" s="973" t="str">
        <f>IFERROR(IF(OR(C36="",N36="",V36="",AA36="",T36="",AE36="",AG36=""),"",INDEX(STDHVAC_N[Current Unit],MATCH(C36,STDHVAC_N[Measure Name],0))),"Err")</f>
        <v/>
      </c>
      <c r="BA36" s="975" t="str">
        <f>IF(
OR(C36="",N36="",T36="",V36="",AA36="",AE36="",AG36=""),"",
IF(OR(ISNUMBER(SEARCH("PTAC",C36)),ISNUMBER(SEARCH("PTHP",C36))),
ROUND(V36*INDEX(STDHVAC_N[Electric Energy Savings (Annual kWh/unit)],MATCH(C36,#REF!,0)),4),
ROUND(V36*ABS(N36-L36)*INDEX(STDHVAC_N[Electric Energy Savings (Annual kWh/unit)],MATCH(C36,STDHVAC_N[Measure Name],0)),4)
))</f>
        <v/>
      </c>
      <c r="BB36" s="975" t="str">
        <f>IF(
OR(C36="",N36="",T36="",V36="",AA36="",AE36="",AG36=""),"",
IF(OR(ISNUMBER(SEARCH("PTAC",C36)),ISNUMBER(SEARCH("PTHP",C36))),
ROUND(V36*INDEX(STDHVAC_N[Coincident Peak Demand Savings (kW/unit)],MATCH(C36,STDHVAC_N[Measure Name],0)),4),
ROUND(V36*ABS(N36-L36)*INDEX(STDHVAC_N[Coincident Peak Demand Savings (kW/unit)],MATCH(C36,STDHVAC_N[Measure Name],0)),4)
))</f>
        <v/>
      </c>
      <c r="BC36" s="962"/>
      <c r="BD36" s="962"/>
      <c r="BE36" s="963" t="str">
        <f>IFERROR(IF(OR(C36="",N36="",V36="",AA36="",T36="",AE36="",AG36=""),"",INDEX(STDHVAC_N[End Use],MATCH(C36,STDHVAC_N[Measure Name],0))),"Err")</f>
        <v/>
      </c>
      <c r="BF36" s="965" t="str">
        <f>IF(C36&lt;&gt;"", _xlfn.LET(
_xlpm.Tons_Cool, V36, _xlpm.PLC_Base, L36, _xlpm.PLC_Eff, N36, _xlpm.Tons_Heat, BQ36, _xlpm.Other_Base, R36, _xlpm.Other_Eff, T36,
_xlpm.EFLH_Cool,
INDEX(STDHVAC_N[EFLHcool],MATCH(C36,STDHVAC_N[Measure Name],0)),
_xlpm.EFLH_Heat,
INDEX(STDHVAC_N[EFLHheat],MATCH(C36,STDHVAC_N[Measure Name],0)),
_xlpm.ElecHeat,
INDEX(SPACEHEAT[ELECHEAT],MATCH(N02S03F29,SPACEHEAT[Space Conditioning],0)),
_xlpm.kWhCool,
ROUND(
IF(OR(ISNUMBER(SEARCH("DX", C36)),ISNUMBER(SEARCH("ASHP", C36)), ISNUMBER(SEARCH("PTAC", C36)), ISNUMBER(SEARCH("PTHP", C36)), ISNUMBER(SEARCH("Air-Cooled Chiller", C36)), ISNUMBER(SEARCH("VRF", C36))),
_xlpm.Tons_Cool * (12/_xlpm.PLC_Base - 12/_xlpm.PLC_Eff)*_xlpm.EFLH_Cool,
IF(ISNUMBER(SEARCH("Water", C36)),
_xlpm.Tons_Cool * (_xlpm.PLC_Base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(1/_xlpm.Other_Base - 1/_xlpm.Other_Eff) * _xlpm.EFLH_Heat,
" "
)),4),
0
),
IFERROR(_xlpm.kWhCool + _xlpm.kWhHeat, "Measure Not Specified.")
), "")</f>
        <v/>
      </c>
      <c r="BG36" s="965" t="str">
        <f t="shared" ref="BG36" si="18">IF(C36&lt;&gt;"", _xlfn.LET(
_xlpm.Tons, V36, _xlpm.PCF, 0.913,
IF(AND(ISNUMBER(SEARCH("DX",C36)),ISNUMBER(SEARCH("&lt;65 kbtu",C36))),
_xlpm.Tons * (12/11.42-12/MAX(11.42,T36))*_xlpm.PCF,
IF(OR(ISNUMBER(SEARCH("DX", C36)), ISNUMBER(SEARCH("Air-Cooled Chiller", C36)), ISNUMBER(SEARCH("VRF", C36))),
_xlpm.Tons * (12/R36 - 12/T36) * _xlpm.PCF,
IF(ISNUMBER(SEARCH("Water", C36)),
_xlpm.Tons * (R36-T36) * _xlpm.PCF,
IF(ISNUMBER(SEARCH("ASHP", C36)),
_xlpm.Tons * (12/BO36 - 12/BP36) * _xlpm.PCF,
IF(OR(ISNUMBER(SEARCH("PTAC", C36)), ISNUMBER(SEARCH("PTHP", C36))),
_xlpm.Tons * (12/L36 - 12/N36) * _xlpm.PCF,
"Measure Not Specified.")))))), "")</f>
        <v/>
      </c>
      <c r="BH36" s="1004" t="str">
        <f>IFERROR(IF(AI36="per ton", ROUND(V36*AM36, 2),
IF(AND(ISNUMBER(SEARCH("Air-Cooled Chiller",C36)),AI36="$/ton/IPLV"), ROUND((12/L36-12/N36)*V36*AM36, 2),
ROUND(ABS(N36-L36)*V36*AM36, 2))), "")</f>
        <v/>
      </c>
      <c r="BI36" s="967" t="str">
        <f>IFERROR(IF(OR(C36="",N36="",V36="",AA36="",T36="",AE36="",AG36="",ISNUMBER(AR36)=FALSE,AR36=0),"",INDEX(STDHVAC_N[Measure Number],MATCH(C36,STDHVAC_N[Measure Name],0))),"Err")</f>
        <v/>
      </c>
      <c r="BJ36" s="996" t="str">
        <f>IFERROR(IF(BT36="",IF(AR36 &lt; BH36, "100% Total Cost", ""), ""), "")</f>
        <v/>
      </c>
      <c r="BK36" s="967" t="str">
        <f>IFERROR(
IF(OR(C36="",J36="",L36="",N36="",P36="",R36="",T36="",V36="",AE36="",AG36=""),
"",
IF(BT36&gt;0,"",IF(OR(AND(ISNUMBER(SEARCH("kW/ton", J36)),OR(L36&lt;N36,R36&lt;T36)),AND(NOT(ISNUMBER(SEARCH("kW/ton", J36))),OR(L36&gt;N36,R36&gt;T36))),
"Must Improve Efficiency",
IF(EXPIRATION&lt;&gt;"",PROJSTATEXP,"")))),
"")</f>
        <v/>
      </c>
      <c r="BL36" s="959" t="str">
        <f>IFERROR(INDEX(STDHVAC_N[Measure Life (Years)],MATCH(C36,STDHVAC_N[Measure Name],0)),"")</f>
        <v/>
      </c>
      <c r="BM36" s="787" t="str">
        <f>IFERROR(IF(OR(C36="",N36="",V36="",AA36="",T36="",AE36="",AG36=""),"",
ROUND(((1+ELOSS)*((BA36*INDEX(ELECCB[NPV AEC $/kWh],MATCH(BL36,ELECCB[Year Number],1)))+(BB36*INDEX(ELECCB[NPV ACC $/kW],MATCH(BL36,ELECCB[Year Number],1))))),2)),0)</f>
        <v/>
      </c>
      <c r="BN36" s="1006" t="str">
        <f>IFERROR(IF(INDEX(STDHVAC_N[Eff Unit 3],MATCH(C36,STDHVAC_N[Measure Name],0))="","",INDEX(STDHVAC_N[Eff Unit 3],MATCH(C36,STDHVAC_N[Measure Name],0))),"")</f>
        <v/>
      </c>
      <c r="BO36" s="1008" t="str">
        <f>IFERROR(IF(INDEX(STDHVAC_N[Base Efficiency 3],MATCH(C36,STDHVAC_N[Measure Name],0))="","",INDEX(STDHVAC_N[Base Efficiency 3],MATCH(C36,STDHVAC_N[Measure Name],0))),"")</f>
        <v/>
      </c>
      <c r="BP36" s="1010" t="str">
        <f>IFERROR(IF(ISNUMBER(SEARCH("Air-Cooled Chiller",$C36)),12/N36,""),"")</f>
        <v/>
      </c>
      <c r="BQ36" s="1012"/>
      <c r="BR36" s="1014" t="str">
        <f>IFERROR(IF(BI36="","",INDEX(STDHVAC_N[Reporting Methodology],MATCH(C36,STDHVAC_N[Measure Name],0))),"Err")</f>
        <v/>
      </c>
      <c r="BS36" s="787" t="str">
        <f>IFERROR(IF(OR(C36="",V36=""),"",INDEX(STDHVAC_N[Incremental Measure Cost ($/Unit)],MATCH(C36,STDHVAC_N[Measure Name],0))*V36),"Err")</f>
        <v/>
      </c>
      <c r="BT36" s="853"/>
    </row>
    <row r="37" spans="2:72" ht="15.95" customHeight="1">
      <c r="B37" s="800"/>
      <c r="C37" s="936"/>
      <c r="D37" s="937"/>
      <c r="E37" s="937"/>
      <c r="F37" s="937"/>
      <c r="G37" s="937"/>
      <c r="H37" s="937"/>
      <c r="I37" s="938"/>
      <c r="J37" s="941"/>
      <c r="K37" s="942"/>
      <c r="L37" s="944"/>
      <c r="M37" s="944"/>
      <c r="N37" s="947"/>
      <c r="O37" s="948"/>
      <c r="P37" s="941"/>
      <c r="Q37" s="942"/>
      <c r="R37" s="944"/>
      <c r="S37" s="944"/>
      <c r="T37" s="951"/>
      <c r="U37" s="952"/>
      <c r="V37" s="955"/>
      <c r="W37" s="956"/>
      <c r="X37" s="936"/>
      <c r="Y37" s="937"/>
      <c r="Z37" s="938"/>
      <c r="AA37" s="1016"/>
      <c r="AB37" s="937"/>
      <c r="AC37" s="937"/>
      <c r="AD37" s="938"/>
      <c r="AE37" s="979"/>
      <c r="AF37" s="980"/>
      <c r="AG37" s="980"/>
      <c r="AH37" s="982"/>
      <c r="AI37" s="985"/>
      <c r="AJ37" s="985"/>
      <c r="AK37" s="985"/>
      <c r="AL37" s="986"/>
      <c r="AM37" s="991"/>
      <c r="AN37" s="992"/>
      <c r="AO37" s="988"/>
      <c r="AP37" s="988"/>
      <c r="AQ37" s="988"/>
      <c r="AR37" s="970"/>
      <c r="AS37" s="970"/>
      <c r="AT37" s="970"/>
      <c r="AU37" s="970"/>
      <c r="AV37" s="21"/>
      <c r="AY37" s="972"/>
      <c r="AZ37" s="974"/>
      <c r="BA37" s="976"/>
      <c r="BB37" s="976"/>
      <c r="BC37" s="962"/>
      <c r="BD37" s="962"/>
      <c r="BE37" s="964"/>
      <c r="BF37" s="966"/>
      <c r="BG37" s="966"/>
      <c r="BH37" s="1005"/>
      <c r="BI37" s="968"/>
      <c r="BJ37" s="997"/>
      <c r="BK37" s="968"/>
      <c r="BL37" s="960"/>
      <c r="BM37" s="788"/>
      <c r="BN37" s="1007"/>
      <c r="BO37" s="1009"/>
      <c r="BP37" s="1011"/>
      <c r="BQ37" s="1013"/>
      <c r="BR37" s="849"/>
      <c r="BS37" s="788"/>
      <c r="BT37" s="854"/>
    </row>
    <row r="38" spans="2:72" ht="15.95" customHeight="1">
      <c r="B38" s="800">
        <v>11</v>
      </c>
      <c r="C38" s="993"/>
      <c r="D38" s="994"/>
      <c r="E38" s="994"/>
      <c r="F38" s="994"/>
      <c r="G38" s="994"/>
      <c r="H38" s="994"/>
      <c r="I38" s="995"/>
      <c r="J38" s="939" t="str">
        <f>IF(C38="","",INDEX(STDHVAC_N[Eff Unit 1],MATCH(C38,STDHVAC_N[Measure Name],0)))</f>
        <v/>
      </c>
      <c r="K38" s="940"/>
      <c r="L38" s="943" t="str">
        <f>IF(C38="","",INDEX(STDHVAC_N[Base Efficiency 1],MATCH(C38,STDHVAC_N[Measure Name],0)))</f>
        <v/>
      </c>
      <c r="M38" s="943"/>
      <c r="N38" s="945"/>
      <c r="O38" s="946"/>
      <c r="P38" s="939" t="str">
        <f>IF(C38="","",INDEX(STDHVAC_N[Eff Unit 2],MATCH(C38,STDHVAC_N[Measure Name],0)))</f>
        <v/>
      </c>
      <c r="Q38" s="940"/>
      <c r="R38" s="943" t="str">
        <f>IF(C38="","",INDEX(STDHVAC_N[Base Efficiency 2],MATCH(C38,STDHVAC_N[Measure Name],0)))</f>
        <v/>
      </c>
      <c r="S38" s="943"/>
      <c r="T38" s="949" t="str">
        <f t="shared" ref="T38" si="19">IF(AND(ISNUMBER(SEARCH("DX",C38)),ISNUMBER(SEARCH("&lt;65 kbtu",C38)),N38&lt;&gt;""),1.12*N38-0.02*N38^2,IF(ISNUMBER(SEARCH("PTAC",C38)),1,""))</f>
        <v/>
      </c>
      <c r="U38" s="950"/>
      <c r="V38" s="955"/>
      <c r="W38" s="956"/>
      <c r="X38" s="993"/>
      <c r="Y38" s="994"/>
      <c r="Z38" s="995"/>
      <c r="AA38" s="1015"/>
      <c r="AB38" s="889"/>
      <c r="AC38" s="889"/>
      <c r="AD38" s="935"/>
      <c r="AE38" s="977"/>
      <c r="AF38" s="978"/>
      <c r="AG38" s="978"/>
      <c r="AH38" s="981"/>
      <c r="AI38" s="985" t="str">
        <f>IF(C38="","",INDEX(STDHVAC_N[Current Unit],MATCH(C38,STDHVAC_N[Measure Name],0)))</f>
        <v/>
      </c>
      <c r="AJ38" s="985"/>
      <c r="AK38" s="985"/>
      <c r="AL38" s="986"/>
      <c r="AM38" s="998" t="str">
        <f>IFERROR(IF(C38="","",INDEX(IF(AND(ACTIVEBONUS_N = TRUE,INDEX(STDHVAC_N[Bonus Incentive],MATCH(C38,STDHVAC_N[Measure Name],0))&lt;&gt; ""),STDHVAC_N[Bonus Incentive],STDHVAC_N[Base Incentive]),MATCH(C38,STDHVAC_N[Measure Name],0))),"")</f>
        <v/>
      </c>
      <c r="AN38" s="999"/>
      <c r="AO38" s="987" t="str">
        <f>IFERROR(IF(OR(C38="",N38="",V38="",AA38="",T38="",AE38="",AG38=""),"",BF38),"")</f>
        <v/>
      </c>
      <c r="AP38" s="987"/>
      <c r="AQ38" s="987"/>
      <c r="AR38" s="969" t="str">
        <f>IFERROR(IF(OR(C38="",N38="",V38="",AA38="",T38="",AE38="",AG38=""),"",IF(BK38&lt;&gt;"",BK38,IF(BT38&gt;0,BT38,ROUND(IF(AO38&lt;=0,0,MIN(AY38,BH38)), 2)))), "")</f>
        <v/>
      </c>
      <c r="AS38" s="969"/>
      <c r="AT38" s="969"/>
      <c r="AU38" s="969"/>
      <c r="AV38" s="21"/>
      <c r="AY38" s="971" t="str">
        <f>IF(OR(C38="",N38="",V38="",AA38="",T38="",AE38="",AG38=""),"",IF(AO38=0,"",ROUND(AE38+AG38,2)))</f>
        <v/>
      </c>
      <c r="AZ38" s="973" t="str">
        <f>IFERROR(IF(OR(C38="",N38="",V38="",AA38="",T38="",AE38="",AG38=""),"",INDEX(STDHVAC_N[Current Unit],MATCH(C38,STDHVAC_N[Measure Name],0))),"Err")</f>
        <v/>
      </c>
      <c r="BA38" s="975" t="str">
        <f>IF(
OR(C38="",N38="",T38="",V38="",AA38="",AE38="",AG38=""),"",
IF(OR(ISNUMBER(SEARCH("PTAC",C38)),ISNUMBER(SEARCH("PTHP",C38))),
ROUND(V38*INDEX(STDHVAC_N[Electric Energy Savings (Annual kWh/unit)],MATCH(C38,#REF!,0)),4),
ROUND(V38*ABS(N38-L38)*INDEX(STDHVAC_N[Electric Energy Savings (Annual kWh/unit)],MATCH(C38,STDHVAC_N[Measure Name],0)),4)
))</f>
        <v/>
      </c>
      <c r="BB38" s="975" t="str">
        <f>IF(
OR(C38="",N38="",T38="",V38="",AA38="",AE38="",AG38=""),"",
IF(OR(ISNUMBER(SEARCH("PTAC",C38)),ISNUMBER(SEARCH("PTHP",C38))),
ROUND(V38*INDEX(STDHVAC_N[Coincident Peak Demand Savings (kW/unit)],MATCH(C38,STDHVAC_N[Measure Name],0)),4),
ROUND(V38*ABS(N38-L38)*INDEX(STDHVAC_N[Coincident Peak Demand Savings (kW/unit)],MATCH(C38,STDHVAC_N[Measure Name],0)),4)
))</f>
        <v/>
      </c>
      <c r="BC38" s="962"/>
      <c r="BD38" s="962"/>
      <c r="BE38" s="963" t="str">
        <f>IFERROR(IF(OR(C38="",N38="",V38="",AA38="",T38="",AE38="",AG38=""),"",INDEX(STDHVAC_N[End Use],MATCH(C38,STDHVAC_N[Measure Name],0))),"Err")</f>
        <v/>
      </c>
      <c r="BF38" s="965" t="str">
        <f>IF(C38&lt;&gt;"", _xlfn.LET(
_xlpm.Tons_Cool, V38, _xlpm.PLC_Base, L38, _xlpm.PLC_Eff, N38, _xlpm.Tons_Heat, BQ38, _xlpm.Other_Base, R38, _xlpm.Other_Eff, T38,
_xlpm.EFLH_Cool,
INDEX(STDHVAC_N[EFLHcool],MATCH(C38,STDHVAC_N[Measure Name],0)),
_xlpm.EFLH_Heat,
INDEX(STDHVAC_N[EFLHheat],MATCH(C38,STDHVAC_N[Measure Name],0)),
_xlpm.ElecHeat,
INDEX(SPACEHEAT[ELECHEAT],MATCH(N02S03F29,SPACEHEAT[Space Conditioning],0)),
_xlpm.kWhCool,
ROUND(
IF(OR(ISNUMBER(SEARCH("DX", C38)),ISNUMBER(SEARCH("ASHP", C38)), ISNUMBER(SEARCH("PTAC", C38)), ISNUMBER(SEARCH("PTHP", C38)), ISNUMBER(SEARCH("Air-Cooled Chiller", C38)), ISNUMBER(SEARCH("VRF", C38))),
_xlpm.Tons_Cool * (12/_xlpm.PLC_Base - 12/_xlpm.PLC_Eff)*_xlpm.EFLH_Cool,
IF(ISNUMBER(SEARCH("Water", C38)),
_xlpm.Tons_Cool * (_xlpm.PLC_Base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(1/_xlpm.Other_Base - 1/_xlpm.Other_Eff) * _xlpm.EFLH_Heat,
" "
)),4),
0
),
IFERROR(_xlpm.kWhCool + _xlpm.kWhHeat, "Measure Not Specified.")
), "")</f>
        <v/>
      </c>
      <c r="BG38" s="965" t="str">
        <f t="shared" ref="BG38" si="20">IF(C38&lt;&gt;"", _xlfn.LET(
_xlpm.Tons, V38, _xlpm.PCF, 0.913,
IF(AND(ISNUMBER(SEARCH("DX",C38)),ISNUMBER(SEARCH("&lt;65 kbtu",C38))),
_xlpm.Tons * (12/11.42-12/MAX(11.42,T38))*_xlpm.PCF,
IF(OR(ISNUMBER(SEARCH("DX", C38)), ISNUMBER(SEARCH("Air-Cooled Chiller", C38)), ISNUMBER(SEARCH("VRF", C38))),
_xlpm.Tons * (12/R38 - 12/T38) * _xlpm.PCF,
IF(ISNUMBER(SEARCH("Water", C38)),
_xlpm.Tons * (R38-T38) * _xlpm.PCF,
IF(ISNUMBER(SEARCH("ASHP", C38)),
_xlpm.Tons * (12/BO38 - 12/BP38) * _xlpm.PCF,
IF(OR(ISNUMBER(SEARCH("PTAC", C38)), ISNUMBER(SEARCH("PTHP", C38))),
_xlpm.Tons * (12/L38 - 12/N38) * _xlpm.PCF,
"Measure Not Specified.")))))), "")</f>
        <v/>
      </c>
      <c r="BH38" s="1004" t="str">
        <f>IFERROR(IF(AI38="per ton", ROUND(V38*AM38, 2),
IF(AND(ISNUMBER(SEARCH("Air-Cooled Chiller",C38)),AI38="$/ton/IPLV"), ROUND((12/L38-12/N38)*V38*AM38, 2),
ROUND(ABS(N38-L38)*V38*AM38, 2))), "")</f>
        <v/>
      </c>
      <c r="BI38" s="967" t="str">
        <f>IFERROR(IF(OR(C38="",N38="",V38="",AA38="",T38="",AE38="",AG38="",ISNUMBER(AR38)=FALSE,AR38=0),"",INDEX(STDHVAC_N[Measure Number],MATCH(C38,STDHVAC_N[Measure Name],0))),"Err")</f>
        <v/>
      </c>
      <c r="BJ38" s="996" t="str">
        <f>IFERROR(IF(BT38="",IF(AR38 &lt; BH38, "100% Total Cost", ""), ""), "")</f>
        <v/>
      </c>
      <c r="BK38" s="967" t="str">
        <f>IFERROR(
IF(OR(C38="",J38="",L38="",N38="",P38="",R38="",T38="",V38="",AE38="",AG38=""),
"",
IF(BT38&gt;0,"",IF(OR(AND(ISNUMBER(SEARCH("kW/ton", J38)),OR(L38&lt;N38,R38&lt;T38)),AND(NOT(ISNUMBER(SEARCH("kW/ton", J38))),OR(L38&gt;N38,R38&gt;T38))),
"Must Improve Efficiency",
IF(EXPIRATION&lt;&gt;"",PROJSTATEXP,"")))),
"")</f>
        <v/>
      </c>
      <c r="BL38" s="959" t="str">
        <f>IFERROR(INDEX(STDHVAC_N[Measure Life (Years)],MATCH(C38,STDHVAC_N[Measure Name],0)),"")</f>
        <v/>
      </c>
      <c r="BM38" s="787" t="str">
        <f>IFERROR(IF(OR(C38="",N38="",V38="",AA38="",T38="",AE38="",AG38=""),"",
ROUND(((1+ELOSS)*((BA38*INDEX(ELECCB[NPV AEC $/kWh],MATCH(BL38,ELECCB[Year Number],1)))+(BB38*INDEX(ELECCB[NPV ACC $/kW],MATCH(BL38,ELECCB[Year Number],1))))),2)),0)</f>
        <v/>
      </c>
      <c r="BN38" s="1006" t="str">
        <f>IFERROR(IF(INDEX(STDHVAC_N[Eff Unit 3],MATCH(C38,STDHVAC_N[Measure Name],0))="","",INDEX(STDHVAC_N[Eff Unit 3],MATCH(C38,STDHVAC_N[Measure Name],0))),"")</f>
        <v/>
      </c>
      <c r="BO38" s="1008" t="str">
        <f>IFERROR(IF(INDEX(STDHVAC_N[Base Efficiency 3],MATCH(C38,STDHVAC_N[Measure Name],0))="","",INDEX(STDHVAC_N[Base Efficiency 3],MATCH(C38,STDHVAC_N[Measure Name],0))),"")</f>
        <v/>
      </c>
      <c r="BP38" s="1010" t="str">
        <f>IFERROR(IF(ISNUMBER(SEARCH("Air-Cooled Chiller",$C38)),12/N38,""),"")</f>
        <v/>
      </c>
      <c r="BQ38" s="1012"/>
      <c r="BR38" s="1014" t="str">
        <f>IFERROR(IF(BI38="","",INDEX(STDHVAC_N[Reporting Methodology],MATCH(C38,STDHVAC_N[Measure Name],0))),"Err")</f>
        <v/>
      </c>
      <c r="BS38" s="787" t="str">
        <f>IFERROR(IF(OR(C38="",V38=""),"",INDEX(STDHVAC_N[Incremental Measure Cost ($/Unit)],MATCH(C38,STDHVAC_N[Measure Name],0))*V38),"Err")</f>
        <v/>
      </c>
      <c r="BT38" s="853"/>
    </row>
    <row r="39" spans="2:72" ht="15.95" customHeight="1">
      <c r="B39" s="800"/>
      <c r="C39" s="936"/>
      <c r="D39" s="937"/>
      <c r="E39" s="937"/>
      <c r="F39" s="937"/>
      <c r="G39" s="937"/>
      <c r="H39" s="937"/>
      <c r="I39" s="938"/>
      <c r="J39" s="941"/>
      <c r="K39" s="942"/>
      <c r="L39" s="944"/>
      <c r="M39" s="944"/>
      <c r="N39" s="947"/>
      <c r="O39" s="948"/>
      <c r="P39" s="941"/>
      <c r="Q39" s="942"/>
      <c r="R39" s="944"/>
      <c r="S39" s="944"/>
      <c r="T39" s="951"/>
      <c r="U39" s="952"/>
      <c r="V39" s="955"/>
      <c r="W39" s="956"/>
      <c r="X39" s="936"/>
      <c r="Y39" s="937"/>
      <c r="Z39" s="938"/>
      <c r="AA39" s="1016"/>
      <c r="AB39" s="937"/>
      <c r="AC39" s="937"/>
      <c r="AD39" s="938"/>
      <c r="AE39" s="979"/>
      <c r="AF39" s="980"/>
      <c r="AG39" s="980"/>
      <c r="AH39" s="982"/>
      <c r="AI39" s="985"/>
      <c r="AJ39" s="985"/>
      <c r="AK39" s="985"/>
      <c r="AL39" s="986"/>
      <c r="AM39" s="991"/>
      <c r="AN39" s="992"/>
      <c r="AO39" s="988"/>
      <c r="AP39" s="988"/>
      <c r="AQ39" s="988"/>
      <c r="AR39" s="970"/>
      <c r="AS39" s="970"/>
      <c r="AT39" s="970"/>
      <c r="AU39" s="970"/>
      <c r="AV39" s="21"/>
      <c r="AY39" s="972"/>
      <c r="AZ39" s="974"/>
      <c r="BA39" s="976"/>
      <c r="BB39" s="976"/>
      <c r="BC39" s="962"/>
      <c r="BD39" s="962"/>
      <c r="BE39" s="964"/>
      <c r="BF39" s="966"/>
      <c r="BG39" s="966"/>
      <c r="BH39" s="1005"/>
      <c r="BI39" s="968"/>
      <c r="BJ39" s="997"/>
      <c r="BK39" s="968"/>
      <c r="BL39" s="960"/>
      <c r="BM39" s="788"/>
      <c r="BN39" s="1007"/>
      <c r="BO39" s="1009"/>
      <c r="BP39" s="1011"/>
      <c r="BQ39" s="1013"/>
      <c r="BR39" s="849"/>
      <c r="BS39" s="788"/>
      <c r="BT39" s="854"/>
    </row>
    <row r="40" spans="2:72" ht="15.95" customHeight="1">
      <c r="B40" s="800">
        <v>12</v>
      </c>
      <c r="C40" s="993"/>
      <c r="D40" s="994"/>
      <c r="E40" s="994"/>
      <c r="F40" s="994"/>
      <c r="G40" s="994"/>
      <c r="H40" s="994"/>
      <c r="I40" s="995"/>
      <c r="J40" s="939" t="str">
        <f>IF(C40="","",INDEX(STDHVAC_N[Eff Unit 1],MATCH(C40,STDHVAC_N[Measure Name],0)))</f>
        <v/>
      </c>
      <c r="K40" s="940"/>
      <c r="L40" s="943" t="str">
        <f>IF(C40="","",INDEX(STDHVAC_N[Base Efficiency 1],MATCH(C40,STDHVAC_N[Measure Name],0)))</f>
        <v/>
      </c>
      <c r="M40" s="943"/>
      <c r="N40" s="945"/>
      <c r="O40" s="946"/>
      <c r="P40" s="939" t="str">
        <f>IF(C40="","",INDEX(STDHVAC_N[Eff Unit 2],MATCH(C40,STDHVAC_N[Measure Name],0)))</f>
        <v/>
      </c>
      <c r="Q40" s="940"/>
      <c r="R40" s="943" t="str">
        <f>IF(C40="","",INDEX(STDHVAC_N[Base Efficiency 2],MATCH(C40,STDHVAC_N[Measure Name],0)))</f>
        <v/>
      </c>
      <c r="S40" s="943"/>
      <c r="T40" s="949" t="str">
        <f t="shared" ref="T40" si="21">IF(AND(ISNUMBER(SEARCH("DX",C40)),ISNUMBER(SEARCH("&lt;65 kbtu",C40)),N40&lt;&gt;""),1.12*N40-0.02*N40^2,IF(ISNUMBER(SEARCH("PTAC",C40)),1,""))</f>
        <v/>
      </c>
      <c r="U40" s="950"/>
      <c r="V40" s="955"/>
      <c r="W40" s="956"/>
      <c r="X40" s="993"/>
      <c r="Y40" s="994"/>
      <c r="Z40" s="995"/>
      <c r="AA40" s="1015"/>
      <c r="AB40" s="889"/>
      <c r="AC40" s="889"/>
      <c r="AD40" s="935"/>
      <c r="AE40" s="977"/>
      <c r="AF40" s="978"/>
      <c r="AG40" s="978"/>
      <c r="AH40" s="981"/>
      <c r="AI40" s="985" t="str">
        <f>IF(C40="","",INDEX(STDHVAC_N[Current Unit],MATCH(C40,STDHVAC_N[Measure Name],0)))</f>
        <v/>
      </c>
      <c r="AJ40" s="985"/>
      <c r="AK40" s="985"/>
      <c r="AL40" s="986"/>
      <c r="AM40" s="998" t="str">
        <f>IFERROR(IF(C40="","",INDEX(IF(AND(ACTIVEBONUS_N = TRUE,INDEX(STDHVAC_N[Bonus Incentive],MATCH(C40,STDHVAC_N[Measure Name],0))&lt;&gt; ""),STDHVAC_N[Bonus Incentive],STDHVAC_N[Base Incentive]),MATCH(C40,STDHVAC_N[Measure Name],0))),"")</f>
        <v/>
      </c>
      <c r="AN40" s="999"/>
      <c r="AO40" s="987" t="str">
        <f>IFERROR(IF(OR(C40="",N40="",V40="",AA40="",T40="",AE40="",AG40=""),"",BF40),"")</f>
        <v/>
      </c>
      <c r="AP40" s="987"/>
      <c r="AQ40" s="987"/>
      <c r="AR40" s="969" t="str">
        <f>IFERROR(IF(OR(C40="",N40="",V40="",AA40="",T40="",AE40="",AG40=""),"",IF(BK40&lt;&gt;"",BK40,IF(BT40&gt;0,BT40,ROUND(IF(AO40&lt;=0,0,MIN(AY40,BH40)), 2)))), "")</f>
        <v/>
      </c>
      <c r="AS40" s="969"/>
      <c r="AT40" s="969"/>
      <c r="AU40" s="969"/>
      <c r="AV40" s="21"/>
      <c r="AY40" s="971" t="str">
        <f>IF(OR(C40="",N40="",V40="",AA40="",T40="",AE40="",AG40=""),"",IF(AO40=0,"",ROUND(AE40+AG40,2)))</f>
        <v/>
      </c>
      <c r="AZ40" s="973" t="str">
        <f>IFERROR(IF(OR(C40="",N40="",V40="",AA40="",T40="",AE40="",AG40=""),"",INDEX(STDHVAC_N[Current Unit],MATCH(C40,STDHVAC_N[Measure Name],0))),"Err")</f>
        <v/>
      </c>
      <c r="BA40" s="975" t="str">
        <f>IF(
OR(C40="",N40="",T40="",V40="",AA40="",AE40="",AG40=""),"",
IF(OR(ISNUMBER(SEARCH("PTAC",C40)),ISNUMBER(SEARCH("PTHP",C40))),
ROUND(V40*INDEX(STDHVAC_N[Electric Energy Savings (Annual kWh/unit)],MATCH(C40,#REF!,0)),4),
ROUND(V40*ABS(N40-L40)*INDEX(STDHVAC_N[Electric Energy Savings (Annual kWh/unit)],MATCH(C40,STDHVAC_N[Measure Name],0)),4)
))</f>
        <v/>
      </c>
      <c r="BB40" s="975" t="str">
        <f>IF(
OR(C40="",N40="",T40="",V40="",AA40="",AE40="",AG40=""),"",
IF(OR(ISNUMBER(SEARCH("PTAC",C40)),ISNUMBER(SEARCH("PTHP",C40))),
ROUND(V40*INDEX(STDHVAC_N[Coincident Peak Demand Savings (kW/unit)],MATCH(C40,STDHVAC_N[Measure Name],0)),4),
ROUND(V40*ABS(N40-L40)*INDEX(STDHVAC_N[Coincident Peak Demand Savings (kW/unit)],MATCH(C40,STDHVAC_N[Measure Name],0)),4)
))</f>
        <v/>
      </c>
      <c r="BC40" s="962"/>
      <c r="BD40" s="962"/>
      <c r="BE40" s="963" t="str">
        <f>IFERROR(IF(OR(C40="",N40="",V40="",AA40="",T40="",AE40="",AG40=""),"",INDEX(STDHVAC_N[End Use],MATCH(C40,STDHVAC_N[Measure Name],0))),"Err")</f>
        <v/>
      </c>
      <c r="BF40" s="965" t="str">
        <f>IF(C40&lt;&gt;"", _xlfn.LET(
_xlpm.Tons_Cool, V40, _xlpm.PLC_Base, L40, _xlpm.PLC_Eff, N40, _xlpm.Tons_Heat, BQ40, _xlpm.Other_Base, R40, _xlpm.Other_Eff, T40,
_xlpm.EFLH_Cool,
INDEX(STDHVAC_N[EFLHcool],MATCH(C40,STDHVAC_N[Measure Name],0)),
_xlpm.EFLH_Heat,
INDEX(STDHVAC_N[EFLHheat],MATCH(C40,STDHVAC_N[Measure Name],0)),
_xlpm.ElecHeat,
INDEX(SPACEHEAT[ELECHEAT],MATCH(N02S03F29,SPACEHEAT[Space Conditioning],0)),
_xlpm.kWhCool,
ROUND(
IF(OR(ISNUMBER(SEARCH("DX", C40)),ISNUMBER(SEARCH("ASHP", C40)), ISNUMBER(SEARCH("PTAC", C40)), ISNUMBER(SEARCH("PTHP", C40)), ISNUMBER(SEARCH("Air-Cooled Chiller", C40)), ISNUMBER(SEARCH("VRF", C40))),
_xlpm.Tons_Cool * (12/_xlpm.PLC_Base - 12/_xlpm.PLC_Eff)*_xlpm.EFLH_Cool,
IF(ISNUMBER(SEARCH("Water", C40)),
_xlpm.Tons_Cool * (_xlpm.PLC_Base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(1/_xlpm.Other_Base - 1/_xlpm.Other_Eff) * _xlpm.EFLH_Heat,
" "
)),4),
0
),
IFERROR(_xlpm.kWhCool + _xlpm.kWhHeat, "Measure Not Specified.")
), "")</f>
        <v/>
      </c>
      <c r="BG40" s="965" t="str">
        <f t="shared" ref="BG40" si="22">IF(C40&lt;&gt;"", _xlfn.LET(
_xlpm.Tons, V40, _xlpm.PCF, 0.913,
IF(AND(ISNUMBER(SEARCH("DX",C40)),ISNUMBER(SEARCH("&lt;65 kbtu",C40))),
_xlpm.Tons * (12/11.42-12/MAX(11.42,T40))*_xlpm.PCF,
IF(OR(ISNUMBER(SEARCH("DX", C40)), ISNUMBER(SEARCH("Air-Cooled Chiller", C40)), ISNUMBER(SEARCH("VRF", C40))),
_xlpm.Tons * (12/R40 - 12/T40) * _xlpm.PCF,
IF(ISNUMBER(SEARCH("Water", C40)),
_xlpm.Tons * (R40-T40) * _xlpm.PCF,
IF(ISNUMBER(SEARCH("ASHP", C40)),
_xlpm.Tons * (12/BO40 - 12/BP40) * _xlpm.PCF,
IF(OR(ISNUMBER(SEARCH("PTAC", C40)), ISNUMBER(SEARCH("PTHP", C40))),
_xlpm.Tons * (12/L40 - 12/N40) * _xlpm.PCF,
"Measure Not Specified.")))))), "")</f>
        <v/>
      </c>
      <c r="BH40" s="1004" t="str">
        <f>IFERROR(IF(AI40="per ton", ROUND(V40*AM40, 2),
IF(AND(ISNUMBER(SEARCH("Air-Cooled Chiller",C40)),AI40="$/ton/IPLV"), ROUND((12/L40-12/N40)*V40*AM40, 2),
ROUND(ABS(N40-L40)*V40*AM40, 2))), "")</f>
        <v/>
      </c>
      <c r="BI40" s="967" t="str">
        <f>IFERROR(IF(OR(C40="",N40="",V40="",AA40="",T40="",AE40="",AG40="",ISNUMBER(AR40)=FALSE,AR40=0),"",INDEX(STDHVAC_N[Measure Number],MATCH(C40,STDHVAC_N[Measure Name],0))),"Err")</f>
        <v/>
      </c>
      <c r="BJ40" s="996" t="str">
        <f>IFERROR(IF(BT40="",IF(AR40 &lt; BH40, "100% Total Cost", ""), ""), "")</f>
        <v/>
      </c>
      <c r="BK40" s="967" t="str">
        <f>IFERROR(
IF(OR(C40="",J40="",L40="",N40="",P40="",R40="",T40="",V40="",AE40="",AG40=""),
"",
IF(BT40&gt;0,"",IF(OR(AND(ISNUMBER(SEARCH("kW/ton", J40)),OR(L40&lt;N40,R40&lt;T40)),AND(NOT(ISNUMBER(SEARCH("kW/ton", J40))),OR(L40&gt;N40,R40&gt;T40))),
"Must Improve Efficiency",
IF(EXPIRATION&lt;&gt;"",PROJSTATEXP,"")))),
"")</f>
        <v/>
      </c>
      <c r="BL40" s="959" t="str">
        <f>IFERROR(INDEX(STDHVAC_N[Measure Life (Years)],MATCH(C40,STDHVAC_N[Measure Name],0)),"")</f>
        <v/>
      </c>
      <c r="BM40" s="787" t="str">
        <f>IFERROR(IF(OR(C40="",N40="",V40="",AA40="",T40="",AE40="",AG40=""),"",
ROUND(((1+ELOSS)*((BA40*INDEX(ELECCB[NPV AEC $/kWh],MATCH(BL40,ELECCB[Year Number],1)))+(BB40*INDEX(ELECCB[NPV ACC $/kW],MATCH(BL40,ELECCB[Year Number],1))))),2)),0)</f>
        <v/>
      </c>
      <c r="BN40" s="1006" t="str">
        <f>IFERROR(IF(INDEX(STDHVAC_N[Eff Unit 3],MATCH(C40,STDHVAC_N[Measure Name],0))="","",INDEX(STDHVAC_N[Eff Unit 3],MATCH(C40,STDHVAC_N[Measure Name],0))),"")</f>
        <v/>
      </c>
      <c r="BO40" s="1008" t="str">
        <f>IFERROR(IF(INDEX(STDHVAC_N[Base Efficiency 3],MATCH(C40,STDHVAC_N[Measure Name],0))="","",INDEX(STDHVAC_N[Base Efficiency 3],MATCH(C40,STDHVAC_N[Measure Name],0))),"")</f>
        <v/>
      </c>
      <c r="BP40" s="1010" t="str">
        <f>IFERROR(IF(ISNUMBER(SEARCH("Air-Cooled Chiller",$C40)),12/N40,""),"")</f>
        <v/>
      </c>
      <c r="BQ40" s="1012"/>
      <c r="BR40" s="1014" t="str">
        <f>IFERROR(IF(BI40="","",INDEX(STDHVAC_N[Reporting Methodology],MATCH(C40,STDHVAC_N[Measure Name],0))),"Err")</f>
        <v/>
      </c>
      <c r="BS40" s="787" t="str">
        <f>IFERROR(IF(OR(C40="",V40=""),"",INDEX(STDHVAC_N[Incremental Measure Cost ($/Unit)],MATCH(C40,STDHVAC_N[Measure Name],0))*V40),"Err")</f>
        <v/>
      </c>
      <c r="BT40" s="853"/>
    </row>
    <row r="41" spans="2:72" ht="15.95" customHeight="1">
      <c r="B41" s="800"/>
      <c r="C41" s="936"/>
      <c r="D41" s="937"/>
      <c r="E41" s="937"/>
      <c r="F41" s="937"/>
      <c r="G41" s="937"/>
      <c r="H41" s="937"/>
      <c r="I41" s="938"/>
      <c r="J41" s="941"/>
      <c r="K41" s="942"/>
      <c r="L41" s="944"/>
      <c r="M41" s="944"/>
      <c r="N41" s="947"/>
      <c r="O41" s="948"/>
      <c r="P41" s="941"/>
      <c r="Q41" s="942"/>
      <c r="R41" s="944"/>
      <c r="S41" s="944"/>
      <c r="T41" s="951"/>
      <c r="U41" s="952"/>
      <c r="V41" s="955"/>
      <c r="W41" s="956"/>
      <c r="X41" s="936"/>
      <c r="Y41" s="937"/>
      <c r="Z41" s="938"/>
      <c r="AA41" s="1016"/>
      <c r="AB41" s="937"/>
      <c r="AC41" s="937"/>
      <c r="AD41" s="938"/>
      <c r="AE41" s="979"/>
      <c r="AF41" s="980"/>
      <c r="AG41" s="980"/>
      <c r="AH41" s="982"/>
      <c r="AI41" s="985"/>
      <c r="AJ41" s="985"/>
      <c r="AK41" s="985"/>
      <c r="AL41" s="986"/>
      <c r="AM41" s="991"/>
      <c r="AN41" s="992"/>
      <c r="AO41" s="988"/>
      <c r="AP41" s="988"/>
      <c r="AQ41" s="988"/>
      <c r="AR41" s="970"/>
      <c r="AS41" s="970"/>
      <c r="AT41" s="970"/>
      <c r="AU41" s="970"/>
      <c r="AV41" s="21"/>
      <c r="AY41" s="972"/>
      <c r="AZ41" s="974"/>
      <c r="BA41" s="976"/>
      <c r="BB41" s="976"/>
      <c r="BC41" s="962"/>
      <c r="BD41" s="962"/>
      <c r="BE41" s="964"/>
      <c r="BF41" s="966"/>
      <c r="BG41" s="966"/>
      <c r="BH41" s="1005"/>
      <c r="BI41" s="968"/>
      <c r="BJ41" s="997"/>
      <c r="BK41" s="968"/>
      <c r="BL41" s="960"/>
      <c r="BM41" s="788"/>
      <c r="BN41" s="1007"/>
      <c r="BO41" s="1009"/>
      <c r="BP41" s="1011"/>
      <c r="BQ41" s="1013"/>
      <c r="BR41" s="849"/>
      <c r="BS41" s="788"/>
      <c r="BT41" s="854"/>
    </row>
    <row r="42" spans="2:72" ht="15.95" customHeight="1">
      <c r="B42" s="800">
        <v>13</v>
      </c>
      <c r="C42" s="993"/>
      <c r="D42" s="994"/>
      <c r="E42" s="994"/>
      <c r="F42" s="994"/>
      <c r="G42" s="994"/>
      <c r="H42" s="994"/>
      <c r="I42" s="995"/>
      <c r="J42" s="939" t="str">
        <f>IF(C42="","",INDEX(STDHVAC_N[Eff Unit 1],MATCH(C42,STDHVAC_N[Measure Name],0)))</f>
        <v/>
      </c>
      <c r="K42" s="940"/>
      <c r="L42" s="943" t="str">
        <f>IF(C42="","",INDEX(STDHVAC_N[Base Efficiency 1],MATCH(C42,STDHVAC_N[Measure Name],0)))</f>
        <v/>
      </c>
      <c r="M42" s="943"/>
      <c r="N42" s="945"/>
      <c r="O42" s="946"/>
      <c r="P42" s="939" t="str">
        <f>IF(C42="","",INDEX(STDHVAC_N[Eff Unit 2],MATCH(C42,STDHVAC_N[Measure Name],0)))</f>
        <v/>
      </c>
      <c r="Q42" s="940"/>
      <c r="R42" s="943" t="str">
        <f>IF(C42="","",INDEX(STDHVAC_N[Base Efficiency 2],MATCH(C42,STDHVAC_N[Measure Name],0)))</f>
        <v/>
      </c>
      <c r="S42" s="943"/>
      <c r="T42" s="949" t="str">
        <f t="shared" ref="T42" si="23">IF(AND(ISNUMBER(SEARCH("DX",C42)),ISNUMBER(SEARCH("&lt;65 kbtu",C42)),N42&lt;&gt;""),1.12*N42-0.02*N42^2,IF(ISNUMBER(SEARCH("PTAC",C42)),1,""))</f>
        <v/>
      </c>
      <c r="U42" s="950"/>
      <c r="V42" s="955"/>
      <c r="W42" s="956"/>
      <c r="X42" s="993"/>
      <c r="Y42" s="994"/>
      <c r="Z42" s="995"/>
      <c r="AA42" s="1015"/>
      <c r="AB42" s="889"/>
      <c r="AC42" s="889"/>
      <c r="AD42" s="935"/>
      <c r="AE42" s="977"/>
      <c r="AF42" s="978"/>
      <c r="AG42" s="978"/>
      <c r="AH42" s="981"/>
      <c r="AI42" s="985" t="str">
        <f>IF(C42="","",INDEX(STDHVAC_N[Current Unit],MATCH(C42,STDHVAC_N[Measure Name],0)))</f>
        <v/>
      </c>
      <c r="AJ42" s="985"/>
      <c r="AK42" s="985"/>
      <c r="AL42" s="986"/>
      <c r="AM42" s="998" t="str">
        <f>IFERROR(IF(C42="","",INDEX(IF(AND(ACTIVEBONUS_N = TRUE,INDEX(STDHVAC_N[Bonus Incentive],MATCH(C42,STDHVAC_N[Measure Name],0))&lt;&gt; ""),STDHVAC_N[Bonus Incentive],STDHVAC_N[Base Incentive]),MATCH(C42,STDHVAC_N[Measure Name],0))),"")</f>
        <v/>
      </c>
      <c r="AN42" s="999"/>
      <c r="AO42" s="987" t="str">
        <f>IFERROR(IF(OR(C42="",N42="",V42="",AA42="",T42="",AE42="",AG42=""),"",BF42),"")</f>
        <v/>
      </c>
      <c r="AP42" s="987"/>
      <c r="AQ42" s="987"/>
      <c r="AR42" s="969" t="str">
        <f>IFERROR(IF(OR(C42="",N42="",V42="",AA42="",T42="",AE42="",AG42=""),"",IF(BK42&lt;&gt;"",BK42,IF(BT42&gt;0,BT42,ROUND(IF(AO42&lt;=0,0,MIN(AY42,BH42)), 2)))), "")</f>
        <v/>
      </c>
      <c r="AS42" s="969"/>
      <c r="AT42" s="969"/>
      <c r="AU42" s="969"/>
      <c r="AV42" s="21"/>
      <c r="AY42" s="971" t="str">
        <f>IF(OR(C42="",N42="",V42="",AA42="",T42="",AE42="",AG42=""),"",IF(AO42=0,"",ROUND(AE42+AG42,2)))</f>
        <v/>
      </c>
      <c r="AZ42" s="973" t="str">
        <f>IFERROR(IF(OR(C42="",N42="",V42="",AA42="",T42="",AE42="",AG42=""),"",INDEX(STDHVAC_N[Current Unit],MATCH(C42,STDHVAC_N[Measure Name],0))),"Err")</f>
        <v/>
      </c>
      <c r="BA42" s="975" t="str">
        <f>IF(
OR(C42="",N42="",T42="",V42="",AA42="",AE42="",AG42=""),"",
IF(OR(ISNUMBER(SEARCH("PTAC",C42)),ISNUMBER(SEARCH("PTHP",C42))),
ROUND(V42*INDEX(STDHVAC_N[Electric Energy Savings (Annual kWh/unit)],MATCH(C42,#REF!,0)),4),
ROUND(V42*ABS(N42-L42)*INDEX(STDHVAC_N[Electric Energy Savings (Annual kWh/unit)],MATCH(C42,STDHVAC_N[Measure Name],0)),4)
))</f>
        <v/>
      </c>
      <c r="BB42" s="975" t="str">
        <f>IF(
OR(C42="",N42="",T42="",V42="",AA42="",AE42="",AG42=""),"",
IF(OR(ISNUMBER(SEARCH("PTAC",C42)),ISNUMBER(SEARCH("PTHP",C42))),
ROUND(V42*INDEX(STDHVAC_N[Coincident Peak Demand Savings (kW/unit)],MATCH(C42,STDHVAC_N[Measure Name],0)),4),
ROUND(V42*ABS(N42-L42)*INDEX(STDHVAC_N[Coincident Peak Demand Savings (kW/unit)],MATCH(C42,STDHVAC_N[Measure Name],0)),4)
))</f>
        <v/>
      </c>
      <c r="BC42" s="962"/>
      <c r="BD42" s="962"/>
      <c r="BE42" s="963" t="str">
        <f>IFERROR(IF(OR(C42="",N42="",V42="",AA42="",T42="",AE42="",AG42=""),"",INDEX(STDHVAC_N[End Use],MATCH(C42,STDHVAC_N[Measure Name],0))),"Err")</f>
        <v/>
      </c>
      <c r="BF42" s="965" t="str">
        <f>IF(C42&lt;&gt;"", _xlfn.LET(
_xlpm.Tons_Cool, V42, _xlpm.PLC_Base, L42, _xlpm.PLC_Eff, N42, _xlpm.Tons_Heat, BQ42, _xlpm.Other_Base, R42, _xlpm.Other_Eff, T42,
_xlpm.EFLH_Cool,
INDEX(STDHVAC_N[EFLHcool],MATCH(C42,STDHVAC_N[Measure Name],0)),
_xlpm.EFLH_Heat,
INDEX(STDHVAC_N[EFLHheat],MATCH(C42,STDHVAC_N[Measure Name],0)),
_xlpm.ElecHeat,
INDEX(SPACEHEAT[ELECHEAT],MATCH(N02S03F29,SPACEHEAT[Space Conditioning],0)),
_xlpm.kWhCool,
ROUND(
IF(OR(ISNUMBER(SEARCH("DX", C42)),ISNUMBER(SEARCH("ASHP", C42)), ISNUMBER(SEARCH("PTAC", C42)), ISNUMBER(SEARCH("PTHP", C42)), ISNUMBER(SEARCH("Air-Cooled Chiller", C42)), ISNUMBER(SEARCH("VRF", C42))),
_xlpm.Tons_Cool * (12/_xlpm.PLC_Base - 12/_xlpm.PLC_Eff)*_xlpm.EFLH_Cool,
IF(ISNUMBER(SEARCH("Water", C42)),
_xlpm.Tons_Cool * (_xlpm.PLC_Base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(1/_xlpm.Other_Base - 1/_xlpm.Other_Eff) * _xlpm.EFLH_Heat,
" "
)),4),
0
),
IFERROR(_xlpm.kWhCool + _xlpm.kWhHeat, "Measure Not Specified.")
), "")</f>
        <v/>
      </c>
      <c r="BG42" s="965" t="str">
        <f t="shared" ref="BG42" si="24">IF(C42&lt;&gt;"", _xlfn.LET(
_xlpm.Tons, V42, _xlpm.PCF, 0.913,
IF(AND(ISNUMBER(SEARCH("DX",C42)),ISNUMBER(SEARCH("&lt;65 kbtu",C42))),
_xlpm.Tons * (12/11.42-12/MAX(11.42,T42))*_xlpm.PCF,
IF(OR(ISNUMBER(SEARCH("DX", C42)), ISNUMBER(SEARCH("Air-Cooled Chiller", C42)), ISNUMBER(SEARCH("VRF", C42))),
_xlpm.Tons * (12/R42 - 12/T42) * _xlpm.PCF,
IF(ISNUMBER(SEARCH("Water", C42)),
_xlpm.Tons * (R42-T42) * _xlpm.PCF,
IF(ISNUMBER(SEARCH("ASHP", C42)),
_xlpm.Tons * (12/BO42 - 12/BP42) * _xlpm.PCF,
IF(OR(ISNUMBER(SEARCH("PTAC", C42)), ISNUMBER(SEARCH("PTHP", C42))),
_xlpm.Tons * (12/L42 - 12/N42) * _xlpm.PCF,
"Measure Not Specified.")))))), "")</f>
        <v/>
      </c>
      <c r="BH42" s="1004" t="str">
        <f>IFERROR(IF(AI42="per ton", ROUND(V42*AM42, 2),
IF(AND(ISNUMBER(SEARCH("Air-Cooled Chiller",C42)),AI42="$/ton/IPLV"), ROUND((12/L42-12/N42)*V42*AM42, 2),
ROUND(ABS(N42-L42)*V42*AM42, 2))), "")</f>
        <v/>
      </c>
      <c r="BI42" s="967" t="str">
        <f>IFERROR(IF(OR(C42="",N42="",V42="",AA42="",T42="",AE42="",AG42="",ISNUMBER(AR42)=FALSE,AR42=0),"",INDEX(STDHVAC_N[Measure Number],MATCH(C42,STDHVAC_N[Measure Name],0))),"Err")</f>
        <v/>
      </c>
      <c r="BJ42" s="996" t="str">
        <f>IFERROR(IF(BT42="",IF(AR42 &lt; BH42, "100% Total Cost", ""), ""), "")</f>
        <v/>
      </c>
      <c r="BK42" s="967" t="str">
        <f>IFERROR(
IF(OR(C42="",J42="",L42="",N42="",P42="",R42="",T42="",V42="",AE42="",AG42=""),
"",
IF(BT42&gt;0,"",IF(OR(AND(ISNUMBER(SEARCH("kW/ton", J42)),OR(L42&lt;N42,R42&lt;T42)),AND(NOT(ISNUMBER(SEARCH("kW/ton", J42))),OR(L42&gt;N42,R42&gt;T42))),
"Must Improve Efficiency",
IF(EXPIRATION&lt;&gt;"",PROJSTATEXP,"")))),
"")</f>
        <v/>
      </c>
      <c r="BL42" s="959" t="str">
        <f>IFERROR(INDEX(STDHVAC_N[Measure Life (Years)],MATCH(C42,STDHVAC_N[Measure Name],0)),"")</f>
        <v/>
      </c>
      <c r="BM42" s="787" t="str">
        <f>IFERROR(IF(OR(C42="",N42="",V42="",AA42="",T42="",AE42="",AG42=""),"",
ROUND(((1+ELOSS)*((BA42*INDEX(ELECCB[NPV AEC $/kWh],MATCH(BL42,ELECCB[Year Number],1)))+(BB42*INDEX(ELECCB[NPV ACC $/kW],MATCH(BL42,ELECCB[Year Number],1))))),2)),0)</f>
        <v/>
      </c>
      <c r="BN42" s="1006" t="str">
        <f>IFERROR(IF(INDEX(STDHVAC_N[Eff Unit 3],MATCH(C42,STDHVAC_N[Measure Name],0))="","",INDEX(STDHVAC_N[Eff Unit 3],MATCH(C42,STDHVAC_N[Measure Name],0))),"")</f>
        <v/>
      </c>
      <c r="BO42" s="1008" t="str">
        <f>IFERROR(IF(INDEX(STDHVAC_N[Base Efficiency 3],MATCH(C42,STDHVAC_N[Measure Name],0))="","",INDEX(STDHVAC_N[Base Efficiency 3],MATCH(C42,STDHVAC_N[Measure Name],0))),"")</f>
        <v/>
      </c>
      <c r="BP42" s="1010" t="str">
        <f>IFERROR(IF(ISNUMBER(SEARCH("Air-Cooled Chiller",$C42)),12/N42,""),"")</f>
        <v/>
      </c>
      <c r="BQ42" s="1012"/>
      <c r="BR42" s="1014" t="str">
        <f>IFERROR(IF(BI42="","",INDEX(STDHVAC_N[Reporting Methodology],MATCH(C42,STDHVAC_N[Measure Name],0))),"Err")</f>
        <v/>
      </c>
      <c r="BS42" s="787" t="str">
        <f>IFERROR(IF(OR(C42="",V42=""),"",INDEX(STDHVAC_N[Incremental Measure Cost ($/Unit)],MATCH(C42,STDHVAC_N[Measure Name],0))*V42),"Err")</f>
        <v/>
      </c>
      <c r="BT42" s="853"/>
    </row>
    <row r="43" spans="2:72" ht="15.95" customHeight="1">
      <c r="B43" s="800"/>
      <c r="C43" s="936"/>
      <c r="D43" s="937"/>
      <c r="E43" s="937"/>
      <c r="F43" s="937"/>
      <c r="G43" s="937"/>
      <c r="H43" s="937"/>
      <c r="I43" s="938"/>
      <c r="J43" s="941"/>
      <c r="K43" s="942"/>
      <c r="L43" s="944"/>
      <c r="M43" s="944"/>
      <c r="N43" s="947"/>
      <c r="O43" s="948"/>
      <c r="P43" s="941"/>
      <c r="Q43" s="942"/>
      <c r="R43" s="944"/>
      <c r="S43" s="944"/>
      <c r="T43" s="951"/>
      <c r="U43" s="952"/>
      <c r="V43" s="955"/>
      <c r="W43" s="956"/>
      <c r="X43" s="936"/>
      <c r="Y43" s="937"/>
      <c r="Z43" s="938"/>
      <c r="AA43" s="1016"/>
      <c r="AB43" s="937"/>
      <c r="AC43" s="937"/>
      <c r="AD43" s="938"/>
      <c r="AE43" s="979"/>
      <c r="AF43" s="980"/>
      <c r="AG43" s="980"/>
      <c r="AH43" s="982"/>
      <c r="AI43" s="985"/>
      <c r="AJ43" s="985"/>
      <c r="AK43" s="985"/>
      <c r="AL43" s="986"/>
      <c r="AM43" s="991"/>
      <c r="AN43" s="992"/>
      <c r="AO43" s="988"/>
      <c r="AP43" s="988"/>
      <c r="AQ43" s="988"/>
      <c r="AR43" s="970"/>
      <c r="AS43" s="970"/>
      <c r="AT43" s="970"/>
      <c r="AU43" s="970"/>
      <c r="AV43" s="21"/>
      <c r="AY43" s="972"/>
      <c r="AZ43" s="974"/>
      <c r="BA43" s="976"/>
      <c r="BB43" s="976"/>
      <c r="BC43" s="962"/>
      <c r="BD43" s="962"/>
      <c r="BE43" s="964"/>
      <c r="BF43" s="966"/>
      <c r="BG43" s="966"/>
      <c r="BH43" s="1005"/>
      <c r="BI43" s="968"/>
      <c r="BJ43" s="997"/>
      <c r="BK43" s="968"/>
      <c r="BL43" s="960"/>
      <c r="BM43" s="788"/>
      <c r="BN43" s="1007"/>
      <c r="BO43" s="1009"/>
      <c r="BP43" s="1011"/>
      <c r="BQ43" s="1013"/>
      <c r="BR43" s="849"/>
      <c r="BS43" s="788"/>
      <c r="BT43" s="854"/>
    </row>
    <row r="44" spans="2:72" ht="15.95" customHeight="1">
      <c r="B44" s="800">
        <v>14</v>
      </c>
      <c r="C44" s="993"/>
      <c r="D44" s="994"/>
      <c r="E44" s="994"/>
      <c r="F44" s="994"/>
      <c r="G44" s="994"/>
      <c r="H44" s="994"/>
      <c r="I44" s="995"/>
      <c r="J44" s="939" t="str">
        <f>IF(C44="","",INDEX(STDHVAC_N[Eff Unit 1],MATCH(C44,STDHVAC_N[Measure Name],0)))</f>
        <v/>
      </c>
      <c r="K44" s="940"/>
      <c r="L44" s="943" t="str">
        <f>IF(C44="","",INDEX(STDHVAC_N[Base Efficiency 1],MATCH(C44,STDHVAC_N[Measure Name],0)))</f>
        <v/>
      </c>
      <c r="M44" s="943"/>
      <c r="N44" s="945"/>
      <c r="O44" s="946"/>
      <c r="P44" s="939" t="str">
        <f>IF(C44="","",INDEX(STDHVAC_N[Eff Unit 2],MATCH(C44,STDHVAC_N[Measure Name],0)))</f>
        <v/>
      </c>
      <c r="Q44" s="940"/>
      <c r="R44" s="943" t="str">
        <f>IF(C44="","",INDEX(STDHVAC_N[Base Efficiency 2],MATCH(C44,STDHVAC_N[Measure Name],0)))</f>
        <v/>
      </c>
      <c r="S44" s="943"/>
      <c r="T44" s="949" t="str">
        <f t="shared" ref="T44" si="25">IF(AND(ISNUMBER(SEARCH("DX",C44)),ISNUMBER(SEARCH("&lt;65 kbtu",C44)),N44&lt;&gt;""),1.12*N44-0.02*N44^2,IF(ISNUMBER(SEARCH("PTAC",C44)),1,""))</f>
        <v/>
      </c>
      <c r="U44" s="950"/>
      <c r="V44" s="955"/>
      <c r="W44" s="956"/>
      <c r="X44" s="993"/>
      <c r="Y44" s="994"/>
      <c r="Z44" s="995"/>
      <c r="AA44" s="1015"/>
      <c r="AB44" s="889"/>
      <c r="AC44" s="889"/>
      <c r="AD44" s="935"/>
      <c r="AE44" s="977"/>
      <c r="AF44" s="978"/>
      <c r="AG44" s="978"/>
      <c r="AH44" s="981"/>
      <c r="AI44" s="985" t="str">
        <f>IF(C44="","",INDEX(STDHVAC_N[Current Unit],MATCH(C44,STDHVAC_N[Measure Name],0)))</f>
        <v/>
      </c>
      <c r="AJ44" s="985"/>
      <c r="AK44" s="985"/>
      <c r="AL44" s="986"/>
      <c r="AM44" s="998" t="str">
        <f>IFERROR(IF(C44="","",INDEX(IF(AND(ACTIVEBONUS_N = TRUE,INDEX(STDHVAC_N[Bonus Incentive],MATCH(C44,STDHVAC_N[Measure Name],0))&lt;&gt; ""),STDHVAC_N[Bonus Incentive],STDHVAC_N[Base Incentive]),MATCH(C44,STDHVAC_N[Measure Name],0))),"")</f>
        <v/>
      </c>
      <c r="AN44" s="999"/>
      <c r="AO44" s="987" t="str">
        <f>IFERROR(IF(OR(C44="",N44="",V44="",AA44="",T44="",AE44="",AG44=""),"",BF44),"")</f>
        <v/>
      </c>
      <c r="AP44" s="987"/>
      <c r="AQ44" s="987"/>
      <c r="AR44" s="969" t="str">
        <f>IFERROR(IF(OR(C44="",N44="",V44="",AA44="",T44="",AE44="",AG44=""),"",IF(BK44&lt;&gt;"",BK44,IF(BT44&gt;0,BT44,ROUND(IF(AO44&lt;=0,0,MIN(AY44,BH44)), 2)))), "")</f>
        <v/>
      </c>
      <c r="AS44" s="969"/>
      <c r="AT44" s="969"/>
      <c r="AU44" s="969"/>
      <c r="AV44" s="21"/>
      <c r="AY44" s="971" t="str">
        <f>IF(OR(C44="",N44="",V44="",AA44="",T44="",AE44="",AG44=""),"",IF(AO44=0,"",ROUND(AE44+AG44,2)))</f>
        <v/>
      </c>
      <c r="AZ44" s="973" t="str">
        <f>IFERROR(IF(OR(C44="",N44="",V44="",AA44="",T44="",AE44="",AG44=""),"",INDEX(STDHVAC_N[Current Unit],MATCH(C44,STDHVAC_N[Measure Name],0))),"Err")</f>
        <v/>
      </c>
      <c r="BA44" s="975" t="str">
        <f>IF(
OR(C44="",N44="",T44="",V44="",AA44="",AE44="",AG44=""),"",
IF(OR(ISNUMBER(SEARCH("PTAC",C44)),ISNUMBER(SEARCH("PTHP",C44))),
ROUND(V44*INDEX(STDHVAC_N[Electric Energy Savings (Annual kWh/unit)],MATCH(C44,#REF!,0)),4),
ROUND(V44*ABS(N44-L44)*INDEX(STDHVAC_N[Electric Energy Savings (Annual kWh/unit)],MATCH(C44,STDHVAC_N[Measure Name],0)),4)
))</f>
        <v/>
      </c>
      <c r="BB44" s="975" t="str">
        <f>IF(
OR(C44="",N44="",T44="",V44="",AA44="",AE44="",AG44=""),"",
IF(OR(ISNUMBER(SEARCH("PTAC",C44)),ISNUMBER(SEARCH("PTHP",C44))),
ROUND(V44*INDEX(STDHVAC_N[Coincident Peak Demand Savings (kW/unit)],MATCH(C44,STDHVAC_N[Measure Name],0)),4),
ROUND(V44*ABS(N44-L44)*INDEX(STDHVAC_N[Coincident Peak Demand Savings (kW/unit)],MATCH(C44,STDHVAC_N[Measure Name],0)),4)
))</f>
        <v/>
      </c>
      <c r="BC44" s="962"/>
      <c r="BD44" s="962"/>
      <c r="BE44" s="963" t="str">
        <f>IFERROR(IF(OR(C44="",N44="",V44="",AA44="",T44="",AE44="",AG44=""),"",INDEX(STDHVAC_N[End Use],MATCH(C44,STDHVAC_N[Measure Name],0))),"Err")</f>
        <v/>
      </c>
      <c r="BF44" s="965" t="str">
        <f>IF(C44&lt;&gt;"", _xlfn.LET(
_xlpm.Tons_Cool, V44, _xlpm.PLC_Base, L44, _xlpm.PLC_Eff, N44, _xlpm.Tons_Heat, BQ44, _xlpm.Other_Base, R44, _xlpm.Other_Eff, T44,
_xlpm.EFLH_Cool,
INDEX(STDHVAC_N[EFLHcool],MATCH(C44,STDHVAC_N[Measure Name],0)),
_xlpm.EFLH_Heat,
INDEX(STDHVAC_N[EFLHheat],MATCH(C44,STDHVAC_N[Measure Name],0)),
_xlpm.ElecHeat,
INDEX(SPACEHEAT[ELECHEAT],MATCH(N02S03F29,SPACEHEAT[Space Conditioning],0)),
_xlpm.kWhCool,
ROUND(
IF(OR(ISNUMBER(SEARCH("DX", C44)),ISNUMBER(SEARCH("ASHP", C44)), ISNUMBER(SEARCH("PTAC", C44)), ISNUMBER(SEARCH("PTHP", C44)), ISNUMBER(SEARCH("Air-Cooled Chiller", C44)), ISNUMBER(SEARCH("VRF", C44))),
_xlpm.Tons_Cool * (12/_xlpm.PLC_Base - 12/_xlpm.PLC_Eff)*_xlpm.EFLH_Cool,
IF(ISNUMBER(SEARCH("Water", C44)),
_xlpm.Tons_Cool * (_xlpm.PLC_Base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(1/_xlpm.Other_Base - 1/_xlpm.Other_Eff) * _xlpm.EFLH_Heat,
" "
)),4),
0
),
IFERROR(_xlpm.kWhCool + _xlpm.kWhHeat, "Measure Not Specified.")
), "")</f>
        <v/>
      </c>
      <c r="BG44" s="965" t="str">
        <f t="shared" ref="BG44" si="26">IF(C44&lt;&gt;"", _xlfn.LET(
_xlpm.Tons, V44, _xlpm.PCF, 0.913,
IF(AND(ISNUMBER(SEARCH("DX",C44)),ISNUMBER(SEARCH("&lt;65 kbtu",C44))),
_xlpm.Tons * (12/11.42-12/MAX(11.42,T44))*_xlpm.PCF,
IF(OR(ISNUMBER(SEARCH("DX", C44)), ISNUMBER(SEARCH("Air-Cooled Chiller", C44)), ISNUMBER(SEARCH("VRF", C44))),
_xlpm.Tons * (12/R44 - 12/T44) * _xlpm.PCF,
IF(ISNUMBER(SEARCH("Water", C44)),
_xlpm.Tons * (R44-T44) * _xlpm.PCF,
IF(ISNUMBER(SEARCH("ASHP", C44)),
_xlpm.Tons * (12/BO44 - 12/BP44) * _xlpm.PCF,
IF(OR(ISNUMBER(SEARCH("PTAC", C44)), ISNUMBER(SEARCH("PTHP", C44))),
_xlpm.Tons * (12/L44 - 12/N44) * _xlpm.PCF,
"Measure Not Specified.")))))), "")</f>
        <v/>
      </c>
      <c r="BH44" s="1004" t="str">
        <f>IFERROR(IF(AI44="per ton", ROUND(V44*AM44, 2),
IF(AND(ISNUMBER(SEARCH("Air-Cooled Chiller",C44)),AI44="$/ton/IPLV"), ROUND((12/L44-12/N44)*V44*AM44, 2),
ROUND(ABS(N44-L44)*V44*AM44, 2))), "")</f>
        <v/>
      </c>
      <c r="BI44" s="967" t="str">
        <f>IFERROR(IF(OR(C44="",N44="",V44="",AA44="",T44="",AE44="",AG44="",ISNUMBER(AR44)=FALSE,AR44=0),"",INDEX(STDHVAC_N[Measure Number],MATCH(C44,STDHVAC_N[Measure Name],0))),"Err")</f>
        <v/>
      </c>
      <c r="BJ44" s="996" t="str">
        <f>IFERROR(IF(BT44="",IF(AR44 &lt; BH44, "100% Total Cost", ""), ""), "")</f>
        <v/>
      </c>
      <c r="BK44" s="967" t="str">
        <f>IFERROR(
IF(OR(C44="",J44="",L44="",N44="",P44="",R44="",T44="",V44="",AE44="",AG44=""),
"",
IF(BT44&gt;0,"",IF(OR(AND(ISNUMBER(SEARCH("kW/ton", J44)),OR(L44&lt;N44,R44&lt;T44)),AND(NOT(ISNUMBER(SEARCH("kW/ton", J44))),OR(L44&gt;N44,R44&gt;T44))),
"Must Improve Efficiency",
IF(EXPIRATION&lt;&gt;"",PROJSTATEXP,"")))),
"")</f>
        <v/>
      </c>
      <c r="BL44" s="959" t="str">
        <f>IFERROR(INDEX(STDHVAC_N[Measure Life (Years)],MATCH(C44,STDHVAC_N[Measure Name],0)),"")</f>
        <v/>
      </c>
      <c r="BM44" s="787" t="str">
        <f>IFERROR(IF(OR(C44="",N44="",V44="",AA44="",T44="",AE44="",AG44=""),"",
ROUND(((1+ELOSS)*((BA44*INDEX(ELECCB[NPV AEC $/kWh],MATCH(BL44,ELECCB[Year Number],1)))+(BB44*INDEX(ELECCB[NPV ACC $/kW],MATCH(BL44,ELECCB[Year Number],1))))),2)),0)</f>
        <v/>
      </c>
      <c r="BN44" s="1006" t="str">
        <f>IFERROR(IF(INDEX(STDHVAC_N[Eff Unit 3],MATCH(C44,STDHVAC_N[Measure Name],0))="","",INDEX(STDHVAC_N[Eff Unit 3],MATCH(C44,STDHVAC_N[Measure Name],0))),"")</f>
        <v/>
      </c>
      <c r="BO44" s="1008" t="str">
        <f>IFERROR(IF(INDEX(STDHVAC_N[Base Efficiency 3],MATCH(C44,STDHVAC_N[Measure Name],0))="","",INDEX(STDHVAC_N[Base Efficiency 3],MATCH(C44,STDHVAC_N[Measure Name],0))),"")</f>
        <v/>
      </c>
      <c r="BP44" s="1010" t="str">
        <f>IFERROR(IF(ISNUMBER(SEARCH("Air-Cooled Chiller",$C44)),12/N44,""),"")</f>
        <v/>
      </c>
      <c r="BQ44" s="1012"/>
      <c r="BR44" s="1014" t="str">
        <f>IFERROR(IF(BI44="","",INDEX(STDHVAC_N[Reporting Methodology],MATCH(C44,STDHVAC_N[Measure Name],0))),"Err")</f>
        <v/>
      </c>
      <c r="BS44" s="787" t="str">
        <f>IFERROR(IF(OR(C44="",V44=""),"",INDEX(STDHVAC_N[Incremental Measure Cost ($/Unit)],MATCH(C44,STDHVAC_N[Measure Name],0))*V44),"Err")</f>
        <v/>
      </c>
      <c r="BT44" s="853"/>
    </row>
    <row r="45" spans="2:72" ht="15.95" customHeight="1">
      <c r="B45" s="800"/>
      <c r="C45" s="936"/>
      <c r="D45" s="937"/>
      <c r="E45" s="937"/>
      <c r="F45" s="937"/>
      <c r="G45" s="937"/>
      <c r="H45" s="937"/>
      <c r="I45" s="938"/>
      <c r="J45" s="941"/>
      <c r="K45" s="942"/>
      <c r="L45" s="944"/>
      <c r="M45" s="944"/>
      <c r="N45" s="947"/>
      <c r="O45" s="948"/>
      <c r="P45" s="941"/>
      <c r="Q45" s="942"/>
      <c r="R45" s="944"/>
      <c r="S45" s="944"/>
      <c r="T45" s="951"/>
      <c r="U45" s="952"/>
      <c r="V45" s="955"/>
      <c r="W45" s="956"/>
      <c r="X45" s="936"/>
      <c r="Y45" s="937"/>
      <c r="Z45" s="938"/>
      <c r="AA45" s="1016"/>
      <c r="AB45" s="937"/>
      <c r="AC45" s="937"/>
      <c r="AD45" s="938"/>
      <c r="AE45" s="979"/>
      <c r="AF45" s="980"/>
      <c r="AG45" s="980"/>
      <c r="AH45" s="982"/>
      <c r="AI45" s="985"/>
      <c r="AJ45" s="985"/>
      <c r="AK45" s="985"/>
      <c r="AL45" s="986"/>
      <c r="AM45" s="991"/>
      <c r="AN45" s="992"/>
      <c r="AO45" s="988"/>
      <c r="AP45" s="988"/>
      <c r="AQ45" s="988"/>
      <c r="AR45" s="970"/>
      <c r="AS45" s="970"/>
      <c r="AT45" s="970"/>
      <c r="AU45" s="970"/>
      <c r="AV45" s="21"/>
      <c r="AY45" s="972"/>
      <c r="AZ45" s="974"/>
      <c r="BA45" s="976"/>
      <c r="BB45" s="976"/>
      <c r="BC45" s="962"/>
      <c r="BD45" s="962"/>
      <c r="BE45" s="964"/>
      <c r="BF45" s="966"/>
      <c r="BG45" s="966"/>
      <c r="BH45" s="1005"/>
      <c r="BI45" s="968"/>
      <c r="BJ45" s="997"/>
      <c r="BK45" s="968"/>
      <c r="BL45" s="960"/>
      <c r="BM45" s="788"/>
      <c r="BN45" s="1007"/>
      <c r="BO45" s="1009"/>
      <c r="BP45" s="1011"/>
      <c r="BQ45" s="1013"/>
      <c r="BR45" s="849"/>
      <c r="BS45" s="788"/>
      <c r="BT45" s="854"/>
    </row>
    <row r="46" spans="2:72" ht="15.95" customHeight="1">
      <c r="B46" s="800">
        <v>15</v>
      </c>
      <c r="C46" s="993"/>
      <c r="D46" s="994"/>
      <c r="E46" s="994"/>
      <c r="F46" s="994"/>
      <c r="G46" s="994"/>
      <c r="H46" s="994"/>
      <c r="I46" s="995"/>
      <c r="J46" s="939" t="str">
        <f>IF(C46="","",INDEX(STDHVAC_N[Eff Unit 1],MATCH(C46,STDHVAC_N[Measure Name],0)))</f>
        <v/>
      </c>
      <c r="K46" s="940"/>
      <c r="L46" s="943" t="str">
        <f>IF(C46="","",INDEX(STDHVAC_N[Base Efficiency 1],MATCH(C46,STDHVAC_N[Measure Name],0)))</f>
        <v/>
      </c>
      <c r="M46" s="943"/>
      <c r="N46" s="945"/>
      <c r="O46" s="946"/>
      <c r="P46" s="939" t="str">
        <f>IF(C46="","",INDEX(STDHVAC_N[Eff Unit 2],MATCH(C46,STDHVAC_N[Measure Name],0)))</f>
        <v/>
      </c>
      <c r="Q46" s="940"/>
      <c r="R46" s="943" t="str">
        <f>IF(C46="","",INDEX(STDHVAC_N[Base Efficiency 2],MATCH(C46,STDHVAC_N[Measure Name],0)))</f>
        <v/>
      </c>
      <c r="S46" s="943"/>
      <c r="T46" s="949" t="str">
        <f t="shared" ref="T46" si="27">IF(AND(ISNUMBER(SEARCH("DX",C46)),ISNUMBER(SEARCH("&lt;65 kbtu",C46)),N46&lt;&gt;""),1.12*N46-0.02*N46^2,IF(ISNUMBER(SEARCH("PTAC",C46)),1,""))</f>
        <v/>
      </c>
      <c r="U46" s="950"/>
      <c r="V46" s="955"/>
      <c r="W46" s="956"/>
      <c r="X46" s="993"/>
      <c r="Y46" s="994"/>
      <c r="Z46" s="995"/>
      <c r="AA46" s="1015"/>
      <c r="AB46" s="889"/>
      <c r="AC46" s="889"/>
      <c r="AD46" s="935"/>
      <c r="AE46" s="977"/>
      <c r="AF46" s="978"/>
      <c r="AG46" s="978"/>
      <c r="AH46" s="981"/>
      <c r="AI46" s="985" t="str">
        <f>IF(C46="","",INDEX(STDHVAC_N[Current Unit],MATCH(C46,STDHVAC_N[Measure Name],0)))</f>
        <v/>
      </c>
      <c r="AJ46" s="985"/>
      <c r="AK46" s="985"/>
      <c r="AL46" s="986"/>
      <c r="AM46" s="998" t="str">
        <f>IFERROR(IF(C46="","",INDEX(IF(AND(ACTIVEBONUS_N = TRUE,INDEX(STDHVAC_N[Bonus Incentive],MATCH(C46,STDHVAC_N[Measure Name],0))&lt;&gt; ""),STDHVAC_N[Bonus Incentive],STDHVAC_N[Base Incentive]),MATCH(C46,STDHVAC_N[Measure Name],0))),"")</f>
        <v/>
      </c>
      <c r="AN46" s="999"/>
      <c r="AO46" s="987" t="str">
        <f>IFERROR(IF(OR(C46="",N46="",V46="",AA46="",T46="",AE46="",AG46=""),"",BF46),"")</f>
        <v/>
      </c>
      <c r="AP46" s="987"/>
      <c r="AQ46" s="987"/>
      <c r="AR46" s="969" t="str">
        <f>IFERROR(IF(OR(C46="",N46="",V46="",AA46="",T46="",AE46="",AG46=""),"",IF(BK46&lt;&gt;"",BK46,IF(BT46&gt;0,BT46,ROUND(IF(AO46&lt;=0,0,MIN(AY46,BH46)), 2)))), "")</f>
        <v/>
      </c>
      <c r="AS46" s="969"/>
      <c r="AT46" s="969"/>
      <c r="AU46" s="969"/>
      <c r="AV46" s="21"/>
      <c r="AY46" s="971" t="str">
        <f>IF(OR(C46="",N46="",V46="",AA46="",T46="",AE46="",AG46=""),"",IF(AO46=0,"",ROUND(AE46+AG46,2)))</f>
        <v/>
      </c>
      <c r="AZ46" s="973" t="str">
        <f>IFERROR(IF(OR(C46="",N46="",V46="",AA46="",T46="",AE46="",AG46=""),"",INDEX(STDHVAC_N[Current Unit],MATCH(C46,STDHVAC_N[Measure Name],0))),"Err")</f>
        <v/>
      </c>
      <c r="BA46" s="975" t="str">
        <f>IF(
OR(C46="",N46="",T46="",V46="",AA46="",AE46="",AG46=""),"",
IF(OR(ISNUMBER(SEARCH("PTAC",C46)),ISNUMBER(SEARCH("PTHP",C46))),
ROUND(V46*INDEX(STDHVAC_N[Electric Energy Savings (Annual kWh/unit)],MATCH(C46,#REF!,0)),4),
ROUND(V46*ABS(N46-L46)*INDEX(STDHVAC_N[Electric Energy Savings (Annual kWh/unit)],MATCH(C46,STDHVAC_N[Measure Name],0)),4)
))</f>
        <v/>
      </c>
      <c r="BB46" s="975" t="str">
        <f>IF(
OR(C46="",N46="",T46="",V46="",AA46="",AE46="",AG46=""),"",
IF(OR(ISNUMBER(SEARCH("PTAC",C46)),ISNUMBER(SEARCH("PTHP",C46))),
ROUND(V46*INDEX(STDHVAC_N[Coincident Peak Demand Savings (kW/unit)],MATCH(C46,STDHVAC_N[Measure Name],0)),4),
ROUND(V46*ABS(N46-L46)*INDEX(STDHVAC_N[Coincident Peak Demand Savings (kW/unit)],MATCH(C46,STDHVAC_N[Measure Name],0)),4)
))</f>
        <v/>
      </c>
      <c r="BC46" s="962"/>
      <c r="BD46" s="962"/>
      <c r="BE46" s="963" t="str">
        <f>IFERROR(IF(OR(C46="",N46="",V46="",AA46="",T46="",AE46="",AG46=""),"",INDEX(STDHVAC_N[End Use],MATCH(C46,STDHVAC_N[Measure Name],0))),"Err")</f>
        <v/>
      </c>
      <c r="BF46" s="965" t="str">
        <f>IF(C46&lt;&gt;"", _xlfn.LET(
_xlpm.Tons_Cool, V46, _xlpm.PLC_Base, L46, _xlpm.PLC_Eff, N46, _xlpm.Tons_Heat, BQ46, _xlpm.Other_Base, R46, _xlpm.Other_Eff, T46,
_xlpm.EFLH_Cool,
INDEX(STDHVAC_N[EFLHcool],MATCH(C46,STDHVAC_N[Measure Name],0)),
_xlpm.EFLH_Heat,
INDEX(STDHVAC_N[EFLHheat],MATCH(C46,STDHVAC_N[Measure Name],0)),
_xlpm.ElecHeat,
INDEX(SPACEHEAT[ELECHEAT],MATCH(N02S03F29,SPACEHEAT[Space Conditioning],0)),
_xlpm.kWhCool,
ROUND(
IF(OR(ISNUMBER(SEARCH("DX", C46)),ISNUMBER(SEARCH("ASHP", C46)), ISNUMBER(SEARCH("PTAC", C46)), ISNUMBER(SEARCH("PTHP", C46)), ISNUMBER(SEARCH("Air-Cooled Chiller", C46)), ISNUMBER(SEARCH("VRF", C46))),
_xlpm.Tons_Cool * (12/_xlpm.PLC_Base - 12/_xlpm.PLC_Eff)*_xlpm.EFLH_Cool,
IF(ISNUMBER(SEARCH("Water", C46)),
_xlpm.Tons_Cool * (_xlpm.PLC_Base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(1/_xlpm.Other_Base - 1/_xlpm.Other_Eff) * _xlpm.EFLH_Heat,
" "
)),4),
0
),
IFERROR(_xlpm.kWhCool + _xlpm.kWhHeat, "Measure Not Specified.")
), "")</f>
        <v/>
      </c>
      <c r="BG46" s="965" t="str">
        <f t="shared" ref="BG46" si="28">IF(C46&lt;&gt;"", _xlfn.LET(
_xlpm.Tons, V46, _xlpm.PCF, 0.913,
IF(AND(ISNUMBER(SEARCH("DX",C46)),ISNUMBER(SEARCH("&lt;65 kbtu",C46))),
_xlpm.Tons * (12/11.42-12/MAX(11.42,T46))*_xlpm.PCF,
IF(OR(ISNUMBER(SEARCH("DX", C46)), ISNUMBER(SEARCH("Air-Cooled Chiller", C46)), ISNUMBER(SEARCH("VRF", C46))),
_xlpm.Tons * (12/R46 - 12/T46) * _xlpm.PCF,
IF(ISNUMBER(SEARCH("Water", C46)),
_xlpm.Tons * (R46-T46) * _xlpm.PCF,
IF(ISNUMBER(SEARCH("ASHP", C46)),
_xlpm.Tons * (12/BO46 - 12/BP46) * _xlpm.PCF,
IF(OR(ISNUMBER(SEARCH("PTAC", C46)), ISNUMBER(SEARCH("PTHP", C46))),
_xlpm.Tons * (12/L46 - 12/N46) * _xlpm.PCF,
"Measure Not Specified.")))))), "")</f>
        <v/>
      </c>
      <c r="BH46" s="1004" t="str">
        <f>IFERROR(IF(AI46="per ton", ROUND(V46*AM46, 2),
IF(AND(ISNUMBER(SEARCH("Air-Cooled Chiller",C46)),AI46="$/ton/IPLV"), ROUND((12/L46-12/N46)*V46*AM46, 2),
ROUND(ABS(N46-L46)*V46*AM46, 2))), "")</f>
        <v/>
      </c>
      <c r="BI46" s="967" t="str">
        <f>IFERROR(IF(OR(C46="",N46="",V46="",AA46="",T46="",AE46="",AG46="",ISNUMBER(AR46)=FALSE,AR46=0),"",INDEX(STDHVAC_N[Measure Number],MATCH(C46,STDHVAC_N[Measure Name],0))),"Err")</f>
        <v/>
      </c>
      <c r="BJ46" s="996" t="str">
        <f>IFERROR(IF(BT46="",IF(AR46 &lt; BH46, "100% Total Cost", ""), ""), "")</f>
        <v/>
      </c>
      <c r="BK46" s="967" t="str">
        <f>IFERROR(
IF(OR(C46="",J46="",L46="",N46="",P46="",R46="",T46="",V46="",AE46="",AG46=""),
"",
IF(BT46&gt;0,"",IF(OR(AND(ISNUMBER(SEARCH("kW/ton", J46)),OR(L46&lt;N46,R46&lt;T46)),AND(NOT(ISNUMBER(SEARCH("kW/ton", J46))),OR(L46&gt;N46,R46&gt;T46))),
"Must Improve Efficiency",
IF(EXPIRATION&lt;&gt;"",PROJSTATEXP,"")))),
"")</f>
        <v/>
      </c>
      <c r="BL46" s="959" t="str">
        <f>IFERROR(INDEX(STDHVAC_N[Measure Life (Years)],MATCH(C46,STDHVAC_N[Measure Name],0)),"")</f>
        <v/>
      </c>
      <c r="BM46" s="787" t="str">
        <f>IFERROR(IF(OR(C46="",N46="",V46="",AA46="",T46="",AE46="",AG46=""),"",
ROUND(((1+ELOSS)*((BA46*INDEX(ELECCB[NPV AEC $/kWh],MATCH(BL46,ELECCB[Year Number],1)))+(BB46*INDEX(ELECCB[NPV ACC $/kW],MATCH(BL46,ELECCB[Year Number],1))))),2)),0)</f>
        <v/>
      </c>
      <c r="BN46" s="1006" t="str">
        <f>IFERROR(IF(INDEX(STDHVAC_N[Eff Unit 3],MATCH(C46,STDHVAC_N[Measure Name],0))="","",INDEX(STDHVAC_N[Eff Unit 3],MATCH(C46,STDHVAC_N[Measure Name],0))),"")</f>
        <v/>
      </c>
      <c r="BO46" s="1008" t="str">
        <f>IFERROR(IF(INDEX(STDHVAC_N[Base Efficiency 3],MATCH(C46,STDHVAC_N[Measure Name],0))="","",INDEX(STDHVAC_N[Base Efficiency 3],MATCH(C46,STDHVAC_N[Measure Name],0))),"")</f>
        <v/>
      </c>
      <c r="BP46" s="1010" t="str">
        <f>IFERROR(IF(ISNUMBER(SEARCH("Air-Cooled Chiller",$C46)),12/N46,""),"")</f>
        <v/>
      </c>
      <c r="BQ46" s="1012"/>
      <c r="BR46" s="1014" t="str">
        <f>IFERROR(IF(BI46="","",INDEX(STDHVAC_N[Reporting Methodology],MATCH(C46,STDHVAC_N[Measure Name],0))),"Err")</f>
        <v/>
      </c>
      <c r="BS46" s="787" t="str">
        <f>IFERROR(IF(OR(C46="",V46=""),"",INDEX(STDHVAC_N[Incremental Measure Cost ($/Unit)],MATCH(C46,STDHVAC_N[Measure Name],0))*V46),"Err")</f>
        <v/>
      </c>
      <c r="BT46" s="853"/>
    </row>
    <row r="47" spans="2:72" ht="15.95" customHeight="1">
      <c r="B47" s="800"/>
      <c r="C47" s="936"/>
      <c r="D47" s="937"/>
      <c r="E47" s="937"/>
      <c r="F47" s="937"/>
      <c r="G47" s="937"/>
      <c r="H47" s="937"/>
      <c r="I47" s="938"/>
      <c r="J47" s="941"/>
      <c r="K47" s="942"/>
      <c r="L47" s="944"/>
      <c r="M47" s="944"/>
      <c r="N47" s="947"/>
      <c r="O47" s="948"/>
      <c r="P47" s="941"/>
      <c r="Q47" s="942"/>
      <c r="R47" s="944"/>
      <c r="S47" s="944"/>
      <c r="T47" s="951"/>
      <c r="U47" s="952"/>
      <c r="V47" s="955"/>
      <c r="W47" s="956"/>
      <c r="X47" s="936"/>
      <c r="Y47" s="937"/>
      <c r="Z47" s="938"/>
      <c r="AA47" s="1016"/>
      <c r="AB47" s="937"/>
      <c r="AC47" s="937"/>
      <c r="AD47" s="938"/>
      <c r="AE47" s="979"/>
      <c r="AF47" s="980"/>
      <c r="AG47" s="980"/>
      <c r="AH47" s="982"/>
      <c r="AI47" s="985"/>
      <c r="AJ47" s="985"/>
      <c r="AK47" s="985"/>
      <c r="AL47" s="986"/>
      <c r="AM47" s="991"/>
      <c r="AN47" s="992"/>
      <c r="AO47" s="988"/>
      <c r="AP47" s="988"/>
      <c r="AQ47" s="988"/>
      <c r="AR47" s="970"/>
      <c r="AS47" s="970"/>
      <c r="AT47" s="970"/>
      <c r="AU47" s="970"/>
      <c r="AV47" s="21"/>
      <c r="AY47" s="972"/>
      <c r="AZ47" s="974"/>
      <c r="BA47" s="976"/>
      <c r="BB47" s="976"/>
      <c r="BC47" s="962"/>
      <c r="BD47" s="962"/>
      <c r="BE47" s="964"/>
      <c r="BF47" s="966"/>
      <c r="BG47" s="966"/>
      <c r="BH47" s="1005"/>
      <c r="BI47" s="968"/>
      <c r="BJ47" s="997"/>
      <c r="BK47" s="968"/>
      <c r="BL47" s="960"/>
      <c r="BM47" s="788"/>
      <c r="BN47" s="1007"/>
      <c r="BO47" s="1009"/>
      <c r="BP47" s="1011"/>
      <c r="BQ47" s="1013"/>
      <c r="BR47" s="849"/>
      <c r="BS47" s="788"/>
      <c r="BT47" s="854"/>
    </row>
    <row r="48" spans="2:72" ht="15.95" customHeight="1">
      <c r="B48" s="800">
        <v>16</v>
      </c>
      <c r="C48" s="993"/>
      <c r="D48" s="994"/>
      <c r="E48" s="994"/>
      <c r="F48" s="994"/>
      <c r="G48" s="994"/>
      <c r="H48" s="994"/>
      <c r="I48" s="995"/>
      <c r="J48" s="939" t="str">
        <f>IF(C48="","",INDEX(STDHVAC_N[Eff Unit 1],MATCH(C48,STDHVAC_N[Measure Name],0)))</f>
        <v/>
      </c>
      <c r="K48" s="940"/>
      <c r="L48" s="943" t="str">
        <f>IF(C48="","",INDEX(STDHVAC_N[Base Efficiency 1],MATCH(C48,STDHVAC_N[Measure Name],0)))</f>
        <v/>
      </c>
      <c r="M48" s="943"/>
      <c r="N48" s="945"/>
      <c r="O48" s="946"/>
      <c r="P48" s="939" t="str">
        <f>IF(C48="","",INDEX(STDHVAC_N[Eff Unit 2],MATCH(C48,STDHVAC_N[Measure Name],0)))</f>
        <v/>
      </c>
      <c r="Q48" s="940"/>
      <c r="R48" s="943" t="str">
        <f>IF(C48="","",INDEX(STDHVAC_N[Base Efficiency 2],MATCH(C48,STDHVAC_N[Measure Name],0)))</f>
        <v/>
      </c>
      <c r="S48" s="943"/>
      <c r="T48" s="949" t="str">
        <f t="shared" ref="T48" si="29">IF(AND(ISNUMBER(SEARCH("DX",C48)),ISNUMBER(SEARCH("&lt;65 kbtu",C48)),N48&lt;&gt;""),1.12*N48-0.02*N48^2,IF(ISNUMBER(SEARCH("PTAC",C48)),1,""))</f>
        <v/>
      </c>
      <c r="U48" s="950"/>
      <c r="V48" s="955"/>
      <c r="W48" s="956"/>
      <c r="X48" s="993"/>
      <c r="Y48" s="994"/>
      <c r="Z48" s="995"/>
      <c r="AA48" s="1015"/>
      <c r="AB48" s="889"/>
      <c r="AC48" s="889"/>
      <c r="AD48" s="935"/>
      <c r="AE48" s="977"/>
      <c r="AF48" s="978"/>
      <c r="AG48" s="978"/>
      <c r="AH48" s="981"/>
      <c r="AI48" s="985" t="str">
        <f>IF(C48="","",INDEX(STDHVAC_N[Current Unit],MATCH(C48,STDHVAC_N[Measure Name],0)))</f>
        <v/>
      </c>
      <c r="AJ48" s="985"/>
      <c r="AK48" s="985"/>
      <c r="AL48" s="986"/>
      <c r="AM48" s="998" t="str">
        <f>IFERROR(IF(C48="","",INDEX(IF(AND(ACTIVEBONUS_N = TRUE,INDEX(STDHVAC_N[Bonus Incentive],MATCH(C48,STDHVAC_N[Measure Name],0))&lt;&gt; ""),STDHVAC_N[Bonus Incentive],STDHVAC_N[Base Incentive]),MATCH(C48,STDHVAC_N[Measure Name],0))),"")</f>
        <v/>
      </c>
      <c r="AN48" s="999"/>
      <c r="AO48" s="987" t="str">
        <f>IFERROR(IF(OR(C48="",N48="",V48="",AA48="",T48="",AE48="",AG48=""),"",BF48),"")</f>
        <v/>
      </c>
      <c r="AP48" s="987"/>
      <c r="AQ48" s="987"/>
      <c r="AR48" s="969" t="str">
        <f>IFERROR(IF(OR(C48="",N48="",V48="",AA48="",T48="",AE48="",AG48=""),"",IF(BK48&lt;&gt;"",BK48,IF(BT48&gt;0,BT48,ROUND(IF(AO48&lt;=0,0,MIN(AY48,BH48)), 2)))), "")</f>
        <v/>
      </c>
      <c r="AS48" s="969"/>
      <c r="AT48" s="969"/>
      <c r="AU48" s="969"/>
      <c r="AV48" s="21"/>
      <c r="AY48" s="971" t="str">
        <f>IF(OR(C48="",N48="",V48="",AA48="",T48="",AE48="",AG48=""),"",IF(AO48=0,"",ROUND(AE48+AG48,2)))</f>
        <v/>
      </c>
      <c r="AZ48" s="973" t="str">
        <f>IFERROR(IF(OR(C48="",N48="",V48="",AA48="",T48="",AE48="",AG48=""),"",INDEX(STDHVAC_N[Current Unit],MATCH(C48,STDHVAC_N[Measure Name],0))),"Err")</f>
        <v/>
      </c>
      <c r="BA48" s="975" t="str">
        <f>IF(
OR(C48="",N48="",T48="",V48="",AA48="",AE48="",AG48=""),"",
IF(OR(ISNUMBER(SEARCH("PTAC",C48)),ISNUMBER(SEARCH("PTHP",C48))),
ROUND(V48*INDEX(STDHVAC_N[Electric Energy Savings (Annual kWh/unit)],MATCH(C48,#REF!,0)),4),
ROUND(V48*ABS(N48-L48)*INDEX(STDHVAC_N[Electric Energy Savings (Annual kWh/unit)],MATCH(C48,STDHVAC_N[Measure Name],0)),4)
))</f>
        <v/>
      </c>
      <c r="BB48" s="975" t="str">
        <f>IF(
OR(C48="",N48="",T48="",V48="",AA48="",AE48="",AG48=""),"",
IF(OR(ISNUMBER(SEARCH("PTAC",C48)),ISNUMBER(SEARCH("PTHP",C48))),
ROUND(V48*INDEX(STDHVAC_N[Coincident Peak Demand Savings (kW/unit)],MATCH(C48,STDHVAC_N[Measure Name],0)),4),
ROUND(V48*ABS(N48-L48)*INDEX(STDHVAC_N[Coincident Peak Demand Savings (kW/unit)],MATCH(C48,STDHVAC_N[Measure Name],0)),4)
))</f>
        <v/>
      </c>
      <c r="BC48" s="962"/>
      <c r="BD48" s="962"/>
      <c r="BE48" s="963" t="str">
        <f>IFERROR(IF(OR(C48="",N48="",V48="",AA48="",T48="",AE48="",AG48=""),"",INDEX(STDHVAC_N[End Use],MATCH(C48,STDHVAC_N[Measure Name],0))),"Err")</f>
        <v/>
      </c>
      <c r="BF48" s="965" t="str">
        <f>IF(C48&lt;&gt;"", _xlfn.LET(
_xlpm.Tons_Cool, V48, _xlpm.PLC_Base, L48, _xlpm.PLC_Eff, N48, _xlpm.Tons_Heat, BQ48, _xlpm.Other_Base, R48, _xlpm.Other_Eff, T48,
_xlpm.EFLH_Cool,
INDEX(STDHVAC_N[EFLHcool],MATCH(C48,STDHVAC_N[Measure Name],0)),
_xlpm.EFLH_Heat,
INDEX(STDHVAC_N[EFLHheat],MATCH(C48,STDHVAC_N[Measure Name],0)),
_xlpm.ElecHeat,
INDEX(SPACEHEAT[ELECHEAT],MATCH(N02S03F29,SPACEHEAT[Space Conditioning],0)),
_xlpm.kWhCool,
ROUND(
IF(OR(ISNUMBER(SEARCH("DX", C48)),ISNUMBER(SEARCH("ASHP", C48)), ISNUMBER(SEARCH("PTAC", C48)), ISNUMBER(SEARCH("PTHP", C48)), ISNUMBER(SEARCH("Air-Cooled Chiller", C48)), ISNUMBER(SEARCH("VRF", C48))),
_xlpm.Tons_Cool * (12/_xlpm.PLC_Base - 12/_xlpm.PLC_Eff)*_xlpm.EFLH_Cool,
IF(ISNUMBER(SEARCH("Water", C48)),
_xlpm.Tons_Cool * (_xlpm.PLC_Base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(1/_xlpm.Other_Base - 1/_xlpm.Other_Eff) * _xlpm.EFLH_Heat,
" "
)),4),
0
),
IFERROR(_xlpm.kWhCool + _xlpm.kWhHeat, "Measure Not Specified.")
), "")</f>
        <v/>
      </c>
      <c r="BG48" s="965" t="str">
        <f t="shared" ref="BG48" si="30">IF(C48&lt;&gt;"", _xlfn.LET(
_xlpm.Tons, V48, _xlpm.PCF, 0.913,
IF(AND(ISNUMBER(SEARCH("DX",C48)),ISNUMBER(SEARCH("&lt;65 kbtu",C48))),
_xlpm.Tons * (12/11.42-12/MAX(11.42,T48))*_xlpm.PCF,
IF(OR(ISNUMBER(SEARCH("DX", C48)), ISNUMBER(SEARCH("Air-Cooled Chiller", C48)), ISNUMBER(SEARCH("VRF", C48))),
_xlpm.Tons * (12/R48 - 12/T48) * _xlpm.PCF,
IF(ISNUMBER(SEARCH("Water", C48)),
_xlpm.Tons * (R48-T48) * _xlpm.PCF,
IF(ISNUMBER(SEARCH("ASHP", C48)),
_xlpm.Tons * (12/BO48 - 12/BP48) * _xlpm.PCF,
IF(OR(ISNUMBER(SEARCH("PTAC", C48)), ISNUMBER(SEARCH("PTHP", C48))),
_xlpm.Tons * (12/L48 - 12/N48) * _xlpm.PCF,
"Measure Not Specified.")))))), "")</f>
        <v/>
      </c>
      <c r="BH48" s="1004" t="str">
        <f>IFERROR(IF(AI48="per ton", ROUND(V48*AM48, 2),
IF(AND(ISNUMBER(SEARCH("Air-Cooled Chiller",C48)),AI48="$/ton/IPLV"), ROUND((12/L48-12/N48)*V48*AM48, 2),
ROUND(ABS(N48-L48)*V48*AM48, 2))), "")</f>
        <v/>
      </c>
      <c r="BI48" s="967" t="str">
        <f>IFERROR(IF(OR(C48="",N48="",V48="",AA48="",T48="",AE48="",AG48="",ISNUMBER(AR48)=FALSE,AR48=0),"",INDEX(STDHVAC_N[Measure Number],MATCH(C48,STDHVAC_N[Measure Name],0))),"Err")</f>
        <v/>
      </c>
      <c r="BJ48" s="996" t="str">
        <f>IFERROR(IF(BT48="",IF(AR48 &lt; BH48, "100% Total Cost", ""), ""), "")</f>
        <v/>
      </c>
      <c r="BK48" s="967" t="str">
        <f>IFERROR(
IF(OR(C48="",J48="",L48="",N48="",P48="",R48="",T48="",V48="",AE48="",AG48=""),
"",
IF(BT48&gt;0,"",IF(OR(AND(ISNUMBER(SEARCH("kW/ton", J48)),OR(L48&lt;N48,R48&lt;T48)),AND(NOT(ISNUMBER(SEARCH("kW/ton", J48))),OR(L48&gt;N48,R48&gt;T48))),
"Must Improve Efficiency",
IF(EXPIRATION&lt;&gt;"",PROJSTATEXP,"")))),
"")</f>
        <v/>
      </c>
      <c r="BL48" s="959" t="str">
        <f>IFERROR(INDEX(STDHVAC_N[Measure Life (Years)],MATCH(C48,STDHVAC_N[Measure Name],0)),"")</f>
        <v/>
      </c>
      <c r="BM48" s="787" t="str">
        <f>IFERROR(IF(OR(C48="",N48="",V48="",AA48="",T48="",AE48="",AG48=""),"",
ROUND(((1+ELOSS)*((BA48*INDEX(ELECCB[NPV AEC $/kWh],MATCH(BL48,ELECCB[Year Number],1)))+(BB48*INDEX(ELECCB[NPV ACC $/kW],MATCH(BL48,ELECCB[Year Number],1))))),2)),0)</f>
        <v/>
      </c>
      <c r="BN48" s="1006" t="str">
        <f>IFERROR(IF(INDEX(STDHVAC_N[Eff Unit 3],MATCH(C48,STDHVAC_N[Measure Name],0))="","",INDEX(STDHVAC_N[Eff Unit 3],MATCH(C48,STDHVAC_N[Measure Name],0))),"")</f>
        <v/>
      </c>
      <c r="BO48" s="1008" t="str">
        <f>IFERROR(IF(INDEX(STDHVAC_N[Base Efficiency 3],MATCH(C48,STDHVAC_N[Measure Name],0))="","",INDEX(STDHVAC_N[Base Efficiency 3],MATCH(C48,STDHVAC_N[Measure Name],0))),"")</f>
        <v/>
      </c>
      <c r="BP48" s="1010" t="str">
        <f>IFERROR(IF(ISNUMBER(SEARCH("Air-Cooled Chiller",$C48)),12/N48,""),"")</f>
        <v/>
      </c>
      <c r="BQ48" s="1012"/>
      <c r="BR48" s="1014" t="str">
        <f>IFERROR(IF(BI48="","",INDEX(STDHVAC_N[Reporting Methodology],MATCH(C48,STDHVAC_N[Measure Name],0))),"Err")</f>
        <v/>
      </c>
      <c r="BS48" s="787" t="str">
        <f>IFERROR(IF(OR(C48="",V48=""),"",INDEX(STDHVAC_N[Incremental Measure Cost ($/Unit)],MATCH(C48,STDHVAC_N[Measure Name],0))*V48),"Err")</f>
        <v/>
      </c>
      <c r="BT48" s="853"/>
    </row>
    <row r="49" spans="2:72" ht="15.95" customHeight="1">
      <c r="B49" s="800"/>
      <c r="C49" s="936"/>
      <c r="D49" s="937"/>
      <c r="E49" s="937"/>
      <c r="F49" s="937"/>
      <c r="G49" s="937"/>
      <c r="H49" s="937"/>
      <c r="I49" s="938"/>
      <c r="J49" s="941"/>
      <c r="K49" s="942"/>
      <c r="L49" s="944"/>
      <c r="M49" s="944"/>
      <c r="N49" s="947"/>
      <c r="O49" s="948"/>
      <c r="P49" s="941"/>
      <c r="Q49" s="942"/>
      <c r="R49" s="944"/>
      <c r="S49" s="944"/>
      <c r="T49" s="951"/>
      <c r="U49" s="952"/>
      <c r="V49" s="955"/>
      <c r="W49" s="956"/>
      <c r="X49" s="936"/>
      <c r="Y49" s="937"/>
      <c r="Z49" s="938"/>
      <c r="AA49" s="1016"/>
      <c r="AB49" s="937"/>
      <c r="AC49" s="937"/>
      <c r="AD49" s="938"/>
      <c r="AE49" s="979"/>
      <c r="AF49" s="980"/>
      <c r="AG49" s="980"/>
      <c r="AH49" s="982"/>
      <c r="AI49" s="985"/>
      <c r="AJ49" s="985"/>
      <c r="AK49" s="985"/>
      <c r="AL49" s="986"/>
      <c r="AM49" s="991"/>
      <c r="AN49" s="992"/>
      <c r="AO49" s="988"/>
      <c r="AP49" s="988"/>
      <c r="AQ49" s="988"/>
      <c r="AR49" s="970"/>
      <c r="AS49" s="970"/>
      <c r="AT49" s="970"/>
      <c r="AU49" s="970"/>
      <c r="AV49" s="21"/>
      <c r="AY49" s="972"/>
      <c r="AZ49" s="974"/>
      <c r="BA49" s="976"/>
      <c r="BB49" s="976"/>
      <c r="BC49" s="962"/>
      <c r="BD49" s="962"/>
      <c r="BE49" s="964"/>
      <c r="BF49" s="966"/>
      <c r="BG49" s="966"/>
      <c r="BH49" s="1005"/>
      <c r="BI49" s="968"/>
      <c r="BJ49" s="997"/>
      <c r="BK49" s="968"/>
      <c r="BL49" s="960"/>
      <c r="BM49" s="788"/>
      <c r="BN49" s="1007"/>
      <c r="BO49" s="1009"/>
      <c r="BP49" s="1011"/>
      <c r="BQ49" s="1013"/>
      <c r="BR49" s="849"/>
      <c r="BS49" s="788"/>
      <c r="BT49" s="854"/>
    </row>
    <row r="50" spans="2:72" ht="15.95" customHeight="1">
      <c r="B50" s="800">
        <v>17</v>
      </c>
      <c r="C50" s="993"/>
      <c r="D50" s="994"/>
      <c r="E50" s="994"/>
      <c r="F50" s="994"/>
      <c r="G50" s="994"/>
      <c r="H50" s="994"/>
      <c r="I50" s="995"/>
      <c r="J50" s="939" t="str">
        <f>IF(C50="","",INDEX(STDHVAC_N[Eff Unit 1],MATCH(C50,STDHVAC_N[Measure Name],0)))</f>
        <v/>
      </c>
      <c r="K50" s="940"/>
      <c r="L50" s="943" t="str">
        <f>IF(C50="","",INDEX(STDHVAC_N[Base Efficiency 1],MATCH(C50,STDHVAC_N[Measure Name],0)))</f>
        <v/>
      </c>
      <c r="M50" s="943"/>
      <c r="N50" s="945"/>
      <c r="O50" s="946"/>
      <c r="P50" s="939" t="str">
        <f>IF(C50="","",INDEX(STDHVAC_N[Eff Unit 2],MATCH(C50,STDHVAC_N[Measure Name],0)))</f>
        <v/>
      </c>
      <c r="Q50" s="940"/>
      <c r="R50" s="943" t="str">
        <f>IF(C50="","",INDEX(STDHVAC_N[Base Efficiency 2],MATCH(C50,STDHVAC_N[Measure Name],0)))</f>
        <v/>
      </c>
      <c r="S50" s="943"/>
      <c r="T50" s="949" t="str">
        <f t="shared" ref="T50" si="31">IF(AND(ISNUMBER(SEARCH("DX",C50)),ISNUMBER(SEARCH("&lt;65 kbtu",C50)),N50&lt;&gt;""),1.12*N50-0.02*N50^2,IF(ISNUMBER(SEARCH("PTAC",C50)),1,""))</f>
        <v/>
      </c>
      <c r="U50" s="950"/>
      <c r="V50" s="955"/>
      <c r="W50" s="956"/>
      <c r="X50" s="993"/>
      <c r="Y50" s="994"/>
      <c r="Z50" s="995"/>
      <c r="AA50" s="1015"/>
      <c r="AB50" s="889"/>
      <c r="AC50" s="889"/>
      <c r="AD50" s="935"/>
      <c r="AE50" s="977"/>
      <c r="AF50" s="978"/>
      <c r="AG50" s="978"/>
      <c r="AH50" s="981"/>
      <c r="AI50" s="985" t="str">
        <f>IF(C50="","",INDEX(STDHVAC_N[Current Unit],MATCH(C50,STDHVAC_N[Measure Name],0)))</f>
        <v/>
      </c>
      <c r="AJ50" s="985"/>
      <c r="AK50" s="985"/>
      <c r="AL50" s="986"/>
      <c r="AM50" s="998" t="str">
        <f>IFERROR(IF(C50="","",INDEX(IF(AND(ACTIVEBONUS_N = TRUE,INDEX(STDHVAC_N[Bonus Incentive],MATCH(C50,STDHVAC_N[Measure Name],0))&lt;&gt; ""),STDHVAC_N[Bonus Incentive],STDHVAC_N[Base Incentive]),MATCH(C50,STDHVAC_N[Measure Name],0))),"")</f>
        <v/>
      </c>
      <c r="AN50" s="999"/>
      <c r="AO50" s="987" t="str">
        <f>IFERROR(IF(OR(C50="",N50="",V50="",AA50="",T50="",AE50="",AG50=""),"",BF50),"")</f>
        <v/>
      </c>
      <c r="AP50" s="987"/>
      <c r="AQ50" s="987"/>
      <c r="AR50" s="969" t="str">
        <f>IFERROR(IF(OR(C50="",N50="",V50="",AA50="",T50="",AE50="",AG50=""),"",IF(BK50&lt;&gt;"",BK50,IF(BT50&gt;0,BT50,ROUND(IF(AO50&lt;=0,0,MIN(AY50,BH50)), 2)))), "")</f>
        <v/>
      </c>
      <c r="AS50" s="969"/>
      <c r="AT50" s="969"/>
      <c r="AU50" s="969"/>
      <c r="AV50" s="21"/>
      <c r="AY50" s="971" t="str">
        <f>IF(OR(C50="",N50="",V50="",AA50="",T50="",AE50="",AG50=""),"",IF(AO50=0,"",ROUND(AE50+AG50,2)))</f>
        <v/>
      </c>
      <c r="AZ50" s="973" t="str">
        <f>IFERROR(IF(OR(C50="",N50="",V50="",AA50="",T50="",AE50="",AG50=""),"",INDEX(STDHVAC_N[Current Unit],MATCH(C50,STDHVAC_N[Measure Name],0))),"Err")</f>
        <v/>
      </c>
      <c r="BA50" s="975" t="str">
        <f>IF(
OR(C50="",N50="",T50="",V50="",AA50="",AE50="",AG50=""),"",
IF(OR(ISNUMBER(SEARCH("PTAC",C50)),ISNUMBER(SEARCH("PTHP",C50))),
ROUND(V50*INDEX(STDHVAC_N[Electric Energy Savings (Annual kWh/unit)],MATCH(C50,#REF!,0)),4),
ROUND(V50*ABS(N50-L50)*INDEX(STDHVAC_N[Electric Energy Savings (Annual kWh/unit)],MATCH(C50,STDHVAC_N[Measure Name],0)),4)
))</f>
        <v/>
      </c>
      <c r="BB50" s="975" t="str">
        <f>IF(
OR(C50="",N50="",T50="",V50="",AA50="",AE50="",AG50=""),"",
IF(OR(ISNUMBER(SEARCH("PTAC",C50)),ISNUMBER(SEARCH("PTHP",C50))),
ROUND(V50*INDEX(STDHVAC_N[Coincident Peak Demand Savings (kW/unit)],MATCH(C50,STDHVAC_N[Measure Name],0)),4),
ROUND(V50*ABS(N50-L50)*INDEX(STDHVAC_N[Coincident Peak Demand Savings (kW/unit)],MATCH(C50,STDHVAC_N[Measure Name],0)),4)
))</f>
        <v/>
      </c>
      <c r="BC50" s="962"/>
      <c r="BD50" s="962"/>
      <c r="BE50" s="963" t="str">
        <f>IFERROR(IF(OR(C50="",N50="",V50="",AA50="",T50="",AE50="",AG50=""),"",INDEX(STDHVAC_N[End Use],MATCH(C50,STDHVAC_N[Measure Name],0))),"Err")</f>
        <v/>
      </c>
      <c r="BF50" s="965" t="str">
        <f>IF(C50&lt;&gt;"", _xlfn.LET(
_xlpm.Tons_Cool, V50, _xlpm.PLC_Base, L50, _xlpm.PLC_Eff, N50, _xlpm.Tons_Heat, BQ50, _xlpm.Other_Base, R50, _xlpm.Other_Eff, T50,
_xlpm.EFLH_Cool,
INDEX(STDHVAC_N[EFLHcool],MATCH(C50,STDHVAC_N[Measure Name],0)),
_xlpm.EFLH_Heat,
INDEX(STDHVAC_N[EFLHheat],MATCH(C50,STDHVAC_N[Measure Name],0)),
_xlpm.ElecHeat,
INDEX(SPACEHEAT[ELECHEAT],MATCH(N02S03F29,SPACEHEAT[Space Conditioning],0)),
_xlpm.kWhCool,
ROUND(
IF(OR(ISNUMBER(SEARCH("DX", C50)),ISNUMBER(SEARCH("ASHP", C50)), ISNUMBER(SEARCH("PTAC", C50)), ISNUMBER(SEARCH("PTHP", C50)), ISNUMBER(SEARCH("Air-Cooled Chiller", C50)), ISNUMBER(SEARCH("VRF", C50))),
_xlpm.Tons_Cool * (12/_xlpm.PLC_Base - 12/_xlpm.PLC_Eff)*_xlpm.EFLH_Cool,
IF(ISNUMBER(SEARCH("Water", C50)),
_xlpm.Tons_Cool * (_xlpm.PLC_Base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(1/_xlpm.Other_Base - 1/_xlpm.Other_Eff) * _xlpm.EFLH_Heat,
" "
)),4),
0
),
IFERROR(_xlpm.kWhCool + _xlpm.kWhHeat, "Measure Not Specified.")
), "")</f>
        <v/>
      </c>
      <c r="BG50" s="965" t="str">
        <f t="shared" ref="BG50" si="32">IF(C50&lt;&gt;"", _xlfn.LET(
_xlpm.Tons, V50, _xlpm.PCF, 0.913,
IF(AND(ISNUMBER(SEARCH("DX",C50)),ISNUMBER(SEARCH("&lt;65 kbtu",C50))),
_xlpm.Tons * (12/11.42-12/MAX(11.42,T50))*_xlpm.PCF,
IF(OR(ISNUMBER(SEARCH("DX", C50)), ISNUMBER(SEARCH("Air-Cooled Chiller", C50)), ISNUMBER(SEARCH("VRF", C50))),
_xlpm.Tons * (12/R50 - 12/T50) * _xlpm.PCF,
IF(ISNUMBER(SEARCH("Water", C50)),
_xlpm.Tons * (R50-T50) * _xlpm.PCF,
IF(ISNUMBER(SEARCH("ASHP", C50)),
_xlpm.Tons * (12/BO50 - 12/BP50) * _xlpm.PCF,
IF(OR(ISNUMBER(SEARCH("PTAC", C50)), ISNUMBER(SEARCH("PTHP", C50))),
_xlpm.Tons * (12/L50 - 12/N50) * _xlpm.PCF,
"Measure Not Specified.")))))), "")</f>
        <v/>
      </c>
      <c r="BH50" s="1004" t="str">
        <f>IFERROR(IF(AI50="per ton", ROUND(V50*AM50, 2),
IF(AND(ISNUMBER(SEARCH("Air-Cooled Chiller",C50)),AI50="$/ton/IPLV"), ROUND((12/L50-12/N50)*V50*AM50, 2),
ROUND(ABS(N50-L50)*V50*AM50, 2))), "")</f>
        <v/>
      </c>
      <c r="BI50" s="967" t="str">
        <f>IFERROR(IF(OR(C50="",N50="",V50="",AA50="",T50="",AE50="",AG50="",ISNUMBER(AR50)=FALSE,AR50=0),"",INDEX(STDHVAC_N[Measure Number],MATCH(C50,STDHVAC_N[Measure Name],0))),"Err")</f>
        <v/>
      </c>
      <c r="BJ50" s="996" t="str">
        <f>IFERROR(IF(BT50="",IF(AR50 &lt; BH50, "100% Total Cost", ""), ""), "")</f>
        <v/>
      </c>
      <c r="BK50" s="967" t="str">
        <f>IFERROR(
IF(OR(C50="",J50="",L50="",N50="",P50="",R50="",T50="",V50="",AE50="",AG50=""),
"",
IF(BT50&gt;0,"",IF(OR(AND(ISNUMBER(SEARCH("kW/ton", J50)),OR(L50&lt;N50,R50&lt;T50)),AND(NOT(ISNUMBER(SEARCH("kW/ton", J50))),OR(L50&gt;N50,R50&gt;T50))),
"Must Improve Efficiency",
IF(EXPIRATION&lt;&gt;"",PROJSTATEXP,"")))),
"")</f>
        <v/>
      </c>
      <c r="BL50" s="959" t="str">
        <f>IFERROR(INDEX(STDHVAC_N[Measure Life (Years)],MATCH(C50,STDHVAC_N[Measure Name],0)),"")</f>
        <v/>
      </c>
      <c r="BM50" s="787" t="str">
        <f>IFERROR(IF(OR(C50="",N50="",V50="",AA50="",T50="",AE50="",AG50=""),"",
ROUND(((1+ELOSS)*((BA50*INDEX(ELECCB[NPV AEC $/kWh],MATCH(BL50,ELECCB[Year Number],1)))+(BB50*INDEX(ELECCB[NPV ACC $/kW],MATCH(BL50,ELECCB[Year Number],1))))),2)),0)</f>
        <v/>
      </c>
      <c r="BN50" s="1006" t="str">
        <f>IFERROR(IF(INDEX(STDHVAC_N[Eff Unit 3],MATCH(C50,STDHVAC_N[Measure Name],0))="","",INDEX(STDHVAC_N[Eff Unit 3],MATCH(C50,STDHVAC_N[Measure Name],0))),"")</f>
        <v/>
      </c>
      <c r="BO50" s="1008" t="str">
        <f>IFERROR(IF(INDEX(STDHVAC_N[Base Efficiency 3],MATCH(C50,STDHVAC_N[Measure Name],0))="","",INDEX(STDHVAC_N[Base Efficiency 3],MATCH(C50,STDHVAC_N[Measure Name],0))),"")</f>
        <v/>
      </c>
      <c r="BP50" s="1010" t="str">
        <f>IFERROR(IF(ISNUMBER(SEARCH("Air-Cooled Chiller",$C50)),12/N50,""),"")</f>
        <v/>
      </c>
      <c r="BQ50" s="1012"/>
      <c r="BR50" s="1014" t="str">
        <f>IFERROR(IF(BI50="","",INDEX(STDHVAC_N[Reporting Methodology],MATCH(C50,STDHVAC_N[Measure Name],0))),"Err")</f>
        <v/>
      </c>
      <c r="BS50" s="787" t="str">
        <f>IFERROR(IF(OR(C50="",V50=""),"",INDEX(STDHVAC_N[Incremental Measure Cost ($/Unit)],MATCH(C50,STDHVAC_N[Measure Name],0))*V50),"Err")</f>
        <v/>
      </c>
      <c r="BT50" s="853"/>
    </row>
    <row r="51" spans="2:72" ht="15.95" customHeight="1">
      <c r="B51" s="800"/>
      <c r="C51" s="936"/>
      <c r="D51" s="937"/>
      <c r="E51" s="937"/>
      <c r="F51" s="937"/>
      <c r="G51" s="937"/>
      <c r="H51" s="937"/>
      <c r="I51" s="938"/>
      <c r="J51" s="941"/>
      <c r="K51" s="942"/>
      <c r="L51" s="944"/>
      <c r="M51" s="944"/>
      <c r="N51" s="947"/>
      <c r="O51" s="948"/>
      <c r="P51" s="941"/>
      <c r="Q51" s="942"/>
      <c r="R51" s="944"/>
      <c r="S51" s="944"/>
      <c r="T51" s="951"/>
      <c r="U51" s="952"/>
      <c r="V51" s="955"/>
      <c r="W51" s="956"/>
      <c r="X51" s="936"/>
      <c r="Y51" s="937"/>
      <c r="Z51" s="938"/>
      <c r="AA51" s="1016"/>
      <c r="AB51" s="937"/>
      <c r="AC51" s="937"/>
      <c r="AD51" s="938"/>
      <c r="AE51" s="979"/>
      <c r="AF51" s="980"/>
      <c r="AG51" s="980"/>
      <c r="AH51" s="982"/>
      <c r="AI51" s="985"/>
      <c r="AJ51" s="985"/>
      <c r="AK51" s="985"/>
      <c r="AL51" s="986"/>
      <c r="AM51" s="991"/>
      <c r="AN51" s="992"/>
      <c r="AO51" s="988"/>
      <c r="AP51" s="988"/>
      <c r="AQ51" s="988"/>
      <c r="AR51" s="970"/>
      <c r="AS51" s="970"/>
      <c r="AT51" s="970"/>
      <c r="AU51" s="970"/>
      <c r="AV51" s="21"/>
      <c r="AY51" s="972"/>
      <c r="AZ51" s="974"/>
      <c r="BA51" s="976"/>
      <c r="BB51" s="976"/>
      <c r="BC51" s="962"/>
      <c r="BD51" s="962"/>
      <c r="BE51" s="964"/>
      <c r="BF51" s="966"/>
      <c r="BG51" s="966"/>
      <c r="BH51" s="1005"/>
      <c r="BI51" s="968"/>
      <c r="BJ51" s="997"/>
      <c r="BK51" s="968"/>
      <c r="BL51" s="960"/>
      <c r="BM51" s="788"/>
      <c r="BN51" s="1007"/>
      <c r="BO51" s="1009"/>
      <c r="BP51" s="1011"/>
      <c r="BQ51" s="1013"/>
      <c r="BR51" s="849"/>
      <c r="BS51" s="788"/>
      <c r="BT51" s="854"/>
    </row>
    <row r="52" spans="2:72" ht="15.95" customHeight="1">
      <c r="B52" s="800">
        <v>18</v>
      </c>
      <c r="C52" s="993"/>
      <c r="D52" s="994"/>
      <c r="E52" s="994"/>
      <c r="F52" s="994"/>
      <c r="G52" s="994"/>
      <c r="H52" s="994"/>
      <c r="I52" s="995"/>
      <c r="J52" s="939" t="str">
        <f>IF(C52="","",INDEX(STDHVAC_N[Eff Unit 1],MATCH(C52,STDHVAC_N[Measure Name],0)))</f>
        <v/>
      </c>
      <c r="K52" s="940"/>
      <c r="L52" s="943" t="str">
        <f>IF(C52="","",INDEX(STDHVAC_N[Base Efficiency 1],MATCH(C52,STDHVAC_N[Measure Name],0)))</f>
        <v/>
      </c>
      <c r="M52" s="943"/>
      <c r="N52" s="945"/>
      <c r="O52" s="946"/>
      <c r="P52" s="939" t="str">
        <f>IF(C52="","",INDEX(STDHVAC_N[Eff Unit 2],MATCH(C52,STDHVAC_N[Measure Name],0)))</f>
        <v/>
      </c>
      <c r="Q52" s="940"/>
      <c r="R52" s="943" t="str">
        <f>IF(C52="","",INDEX(STDHVAC_N[Base Efficiency 2],MATCH(C52,STDHVAC_N[Measure Name],0)))</f>
        <v/>
      </c>
      <c r="S52" s="943"/>
      <c r="T52" s="949" t="str">
        <f t="shared" ref="T52" si="33">IF(AND(ISNUMBER(SEARCH("DX",C52)),ISNUMBER(SEARCH("&lt;65 kbtu",C52)),N52&lt;&gt;""),1.12*N52-0.02*N52^2,IF(ISNUMBER(SEARCH("PTAC",C52)),1,""))</f>
        <v/>
      </c>
      <c r="U52" s="950"/>
      <c r="V52" s="955"/>
      <c r="W52" s="956"/>
      <c r="X52" s="993"/>
      <c r="Y52" s="994"/>
      <c r="Z52" s="995"/>
      <c r="AA52" s="1015"/>
      <c r="AB52" s="889"/>
      <c r="AC52" s="889"/>
      <c r="AD52" s="935"/>
      <c r="AE52" s="977"/>
      <c r="AF52" s="978"/>
      <c r="AG52" s="978"/>
      <c r="AH52" s="981"/>
      <c r="AI52" s="985" t="str">
        <f>IF(C52="","",INDEX(STDHVAC_N[Current Unit],MATCH(C52,STDHVAC_N[Measure Name],0)))</f>
        <v/>
      </c>
      <c r="AJ52" s="985"/>
      <c r="AK52" s="985"/>
      <c r="AL52" s="986"/>
      <c r="AM52" s="998" t="str">
        <f>IFERROR(IF(C52="","",INDEX(IF(AND(ACTIVEBONUS_N = TRUE,INDEX(STDHVAC_N[Bonus Incentive],MATCH(C52,STDHVAC_N[Measure Name],0))&lt;&gt; ""),STDHVAC_N[Bonus Incentive],STDHVAC_N[Base Incentive]),MATCH(C52,STDHVAC_N[Measure Name],0))),"")</f>
        <v/>
      </c>
      <c r="AN52" s="999"/>
      <c r="AO52" s="987" t="str">
        <f>IFERROR(IF(OR(C52="",N52="",V52="",AA52="",T52="",AE52="",AG52=""),"",BF52),"")</f>
        <v/>
      </c>
      <c r="AP52" s="987"/>
      <c r="AQ52" s="987"/>
      <c r="AR52" s="969" t="str">
        <f>IFERROR(IF(OR(C52="",N52="",V52="",AA52="",T52="",AE52="",AG52=""),"",IF(BK52&lt;&gt;"",BK52,IF(BT52&gt;0,BT52,ROUND(IF(AO52&lt;=0,0,MIN(AY52,BH52)), 2)))), "")</f>
        <v/>
      </c>
      <c r="AS52" s="969"/>
      <c r="AT52" s="969"/>
      <c r="AU52" s="969"/>
      <c r="AV52" s="21"/>
      <c r="AY52" s="971" t="str">
        <f>IF(OR(C52="",N52="",V52="",AA52="",T52="",AE52="",AG52=""),"",IF(AO52=0,"",ROUND(AE52+AG52,2)))</f>
        <v/>
      </c>
      <c r="AZ52" s="973" t="str">
        <f>IFERROR(IF(OR(C52="",N52="",V52="",AA52="",T52="",AE52="",AG52=""),"",INDEX(STDHVAC_N[Current Unit],MATCH(C52,STDHVAC_N[Measure Name],0))),"Err")</f>
        <v/>
      </c>
      <c r="BA52" s="975" t="str">
        <f>IF(
OR(C52="",N52="",T52="",V52="",AA52="",AE52="",AG52=""),"",
IF(OR(ISNUMBER(SEARCH("PTAC",C52)),ISNUMBER(SEARCH("PTHP",C52))),
ROUND(V52*INDEX(STDHVAC_N[Electric Energy Savings (Annual kWh/unit)],MATCH(C52,#REF!,0)),4),
ROUND(V52*ABS(N52-L52)*INDEX(STDHVAC_N[Electric Energy Savings (Annual kWh/unit)],MATCH(C52,STDHVAC_N[Measure Name],0)),4)
))</f>
        <v/>
      </c>
      <c r="BB52" s="975" t="str">
        <f>IF(
OR(C52="",N52="",T52="",V52="",AA52="",AE52="",AG52=""),"",
IF(OR(ISNUMBER(SEARCH("PTAC",C52)),ISNUMBER(SEARCH("PTHP",C52))),
ROUND(V52*INDEX(STDHVAC_N[Coincident Peak Demand Savings (kW/unit)],MATCH(C52,STDHVAC_N[Measure Name],0)),4),
ROUND(V52*ABS(N52-L52)*INDEX(STDHVAC_N[Coincident Peak Demand Savings (kW/unit)],MATCH(C52,STDHVAC_N[Measure Name],0)),4)
))</f>
        <v/>
      </c>
      <c r="BC52" s="962"/>
      <c r="BD52" s="962"/>
      <c r="BE52" s="963" t="str">
        <f>IFERROR(IF(OR(C52="",N52="",V52="",AA52="",T52="",AE52="",AG52=""),"",INDEX(STDHVAC_N[End Use],MATCH(C52,STDHVAC_N[Measure Name],0))),"Err")</f>
        <v/>
      </c>
      <c r="BF52" s="965" t="str">
        <f>IF(C52&lt;&gt;"", _xlfn.LET(
_xlpm.Tons_Cool, V52, _xlpm.PLC_Base, L52, _xlpm.PLC_Eff, N52, _xlpm.Tons_Heat, BQ52, _xlpm.Other_Base, R52, _xlpm.Other_Eff, T52,
_xlpm.EFLH_Cool,
INDEX(STDHVAC_N[EFLHcool],MATCH(C52,STDHVAC_N[Measure Name],0)),
_xlpm.EFLH_Heat,
INDEX(STDHVAC_N[EFLHheat],MATCH(C52,STDHVAC_N[Measure Name],0)),
_xlpm.ElecHeat,
INDEX(SPACEHEAT[ELECHEAT],MATCH(N02S03F29,SPACEHEAT[Space Conditioning],0)),
_xlpm.kWhCool,
ROUND(
IF(OR(ISNUMBER(SEARCH("DX", C52)),ISNUMBER(SEARCH("ASHP", C52)), ISNUMBER(SEARCH("PTAC", C52)), ISNUMBER(SEARCH("PTHP", C52)), ISNUMBER(SEARCH("Air-Cooled Chiller", C52)), ISNUMBER(SEARCH("VRF", C52))),
_xlpm.Tons_Cool * (12/_xlpm.PLC_Base - 12/_xlpm.PLC_Eff)*_xlpm.EFLH_Cool,
IF(ISNUMBER(SEARCH("Water", C52)),
_xlpm.Tons_Cool * (_xlpm.PLC_Base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(1/_xlpm.Other_Base - 1/_xlpm.Other_Eff) * _xlpm.EFLH_Heat,
" "
)),4),
0
),
IFERROR(_xlpm.kWhCool + _xlpm.kWhHeat, "Measure Not Specified.")
), "")</f>
        <v/>
      </c>
      <c r="BG52" s="965" t="str">
        <f t="shared" ref="BG52" si="34">IF(C52&lt;&gt;"", _xlfn.LET(
_xlpm.Tons, V52, _xlpm.PCF, 0.913,
IF(AND(ISNUMBER(SEARCH("DX",C52)),ISNUMBER(SEARCH("&lt;65 kbtu",C52))),
_xlpm.Tons * (12/11.42-12/MAX(11.42,T52))*_xlpm.PCF,
IF(OR(ISNUMBER(SEARCH("DX", C52)), ISNUMBER(SEARCH("Air-Cooled Chiller", C52)), ISNUMBER(SEARCH("VRF", C52))),
_xlpm.Tons * (12/R52 - 12/T52) * _xlpm.PCF,
IF(ISNUMBER(SEARCH("Water", C52)),
_xlpm.Tons * (R52-T52) * _xlpm.PCF,
IF(ISNUMBER(SEARCH("ASHP", C52)),
_xlpm.Tons * (12/BO52 - 12/BP52) * _xlpm.PCF,
IF(OR(ISNUMBER(SEARCH("PTAC", C52)), ISNUMBER(SEARCH("PTHP", C52))),
_xlpm.Tons * (12/L52 - 12/N52) * _xlpm.PCF,
"Measure Not Specified.")))))), "")</f>
        <v/>
      </c>
      <c r="BH52" s="1004" t="str">
        <f>IFERROR(IF(AI52="per ton", ROUND(V52*AM52, 2),
IF(AND(ISNUMBER(SEARCH("Air-Cooled Chiller",C52)),AI52="$/ton/IPLV"), ROUND((12/L52-12/N52)*V52*AM52, 2),
ROUND(ABS(N52-L52)*V52*AM52, 2))), "")</f>
        <v/>
      </c>
      <c r="BI52" s="967" t="str">
        <f>IFERROR(IF(OR(C52="",N52="",V52="",AA52="",T52="",AE52="",AG52="",ISNUMBER(AR52)=FALSE,AR52=0),"",INDEX(STDHVAC_N[Measure Number],MATCH(C52,STDHVAC_N[Measure Name],0))),"Err")</f>
        <v/>
      </c>
      <c r="BJ52" s="996" t="str">
        <f>IFERROR(IF(BT52="",IF(AR52 &lt; BH52, "100% Total Cost", ""), ""), "")</f>
        <v/>
      </c>
      <c r="BK52" s="967" t="str">
        <f>IFERROR(
IF(OR(C52="",J52="",L52="",N52="",P52="",R52="",T52="",V52="",AE52="",AG52=""),
"",
IF(BT52&gt;0,"",IF(OR(AND(ISNUMBER(SEARCH("kW/ton", J52)),OR(L52&lt;N52,R52&lt;T52)),AND(NOT(ISNUMBER(SEARCH("kW/ton", J52))),OR(L52&gt;N52,R52&gt;T52))),
"Must Improve Efficiency",
IF(EXPIRATION&lt;&gt;"",PROJSTATEXP,"")))),
"")</f>
        <v/>
      </c>
      <c r="BL52" s="959" t="str">
        <f>IFERROR(INDEX(STDHVAC_N[Measure Life (Years)],MATCH(C52,STDHVAC_N[Measure Name],0)),"")</f>
        <v/>
      </c>
      <c r="BM52" s="787" t="str">
        <f>IFERROR(IF(OR(C52="",N52="",V52="",AA52="",T52="",AE52="",AG52=""),"",
ROUND(((1+ELOSS)*((BA52*INDEX(ELECCB[NPV AEC $/kWh],MATCH(BL52,ELECCB[Year Number],1)))+(BB52*INDEX(ELECCB[NPV ACC $/kW],MATCH(BL52,ELECCB[Year Number],1))))),2)),0)</f>
        <v/>
      </c>
      <c r="BN52" s="1006" t="str">
        <f>IFERROR(IF(INDEX(STDHVAC_N[Eff Unit 3],MATCH(C52,STDHVAC_N[Measure Name],0))="","",INDEX(STDHVAC_N[Eff Unit 3],MATCH(C52,STDHVAC_N[Measure Name],0))),"")</f>
        <v/>
      </c>
      <c r="BO52" s="1008" t="str">
        <f>IFERROR(IF(INDEX(STDHVAC_N[Base Efficiency 3],MATCH(C52,STDHVAC_N[Measure Name],0))="","",INDEX(STDHVAC_N[Base Efficiency 3],MATCH(C52,STDHVAC_N[Measure Name],0))),"")</f>
        <v/>
      </c>
      <c r="BP52" s="1010" t="str">
        <f>IFERROR(IF(ISNUMBER(SEARCH("Air-Cooled Chiller",$C52)),12/N52,""),"")</f>
        <v/>
      </c>
      <c r="BQ52" s="1012"/>
      <c r="BR52" s="1014" t="str">
        <f>IFERROR(IF(BI52="","",INDEX(STDHVAC_N[Reporting Methodology],MATCH(C52,STDHVAC_N[Measure Name],0))),"Err")</f>
        <v/>
      </c>
      <c r="BS52" s="787" t="str">
        <f>IFERROR(IF(OR(C52="",V52=""),"",INDEX(STDHVAC_N[Incremental Measure Cost ($/Unit)],MATCH(C52,STDHVAC_N[Measure Name],0))*V52),"Err")</f>
        <v/>
      </c>
      <c r="BT52" s="853"/>
    </row>
    <row r="53" spans="2:72" ht="15.95" customHeight="1">
      <c r="B53" s="800"/>
      <c r="C53" s="936"/>
      <c r="D53" s="937"/>
      <c r="E53" s="937"/>
      <c r="F53" s="937"/>
      <c r="G53" s="937"/>
      <c r="H53" s="937"/>
      <c r="I53" s="938"/>
      <c r="J53" s="941"/>
      <c r="K53" s="942"/>
      <c r="L53" s="944"/>
      <c r="M53" s="944"/>
      <c r="N53" s="947"/>
      <c r="O53" s="948"/>
      <c r="P53" s="941"/>
      <c r="Q53" s="942"/>
      <c r="R53" s="944"/>
      <c r="S53" s="944"/>
      <c r="T53" s="951"/>
      <c r="U53" s="952"/>
      <c r="V53" s="955"/>
      <c r="W53" s="956"/>
      <c r="X53" s="936"/>
      <c r="Y53" s="937"/>
      <c r="Z53" s="938"/>
      <c r="AA53" s="1016"/>
      <c r="AB53" s="937"/>
      <c r="AC53" s="937"/>
      <c r="AD53" s="938"/>
      <c r="AE53" s="979"/>
      <c r="AF53" s="980"/>
      <c r="AG53" s="980"/>
      <c r="AH53" s="982"/>
      <c r="AI53" s="985"/>
      <c r="AJ53" s="985"/>
      <c r="AK53" s="985"/>
      <c r="AL53" s="986"/>
      <c r="AM53" s="991"/>
      <c r="AN53" s="992"/>
      <c r="AO53" s="988"/>
      <c r="AP53" s="988"/>
      <c r="AQ53" s="988"/>
      <c r="AR53" s="970"/>
      <c r="AS53" s="970"/>
      <c r="AT53" s="970"/>
      <c r="AU53" s="970"/>
      <c r="AV53" s="21"/>
      <c r="AY53" s="972"/>
      <c r="AZ53" s="974"/>
      <c r="BA53" s="976"/>
      <c r="BB53" s="976"/>
      <c r="BC53" s="962"/>
      <c r="BD53" s="962"/>
      <c r="BE53" s="964"/>
      <c r="BF53" s="966"/>
      <c r="BG53" s="966"/>
      <c r="BH53" s="1005"/>
      <c r="BI53" s="968"/>
      <c r="BJ53" s="997"/>
      <c r="BK53" s="968"/>
      <c r="BL53" s="960"/>
      <c r="BM53" s="788"/>
      <c r="BN53" s="1007"/>
      <c r="BO53" s="1009"/>
      <c r="BP53" s="1011"/>
      <c r="BQ53" s="1013"/>
      <c r="BR53" s="849"/>
      <c r="BS53" s="788"/>
      <c r="BT53" s="854"/>
    </row>
    <row r="54" spans="2:72" ht="15.95" customHeight="1">
      <c r="B54" s="800">
        <v>19</v>
      </c>
      <c r="C54" s="993"/>
      <c r="D54" s="994"/>
      <c r="E54" s="994"/>
      <c r="F54" s="994"/>
      <c r="G54" s="994"/>
      <c r="H54" s="994"/>
      <c r="I54" s="995"/>
      <c r="J54" s="939" t="str">
        <f>IF(C54="","",INDEX(STDHVAC_N[Eff Unit 1],MATCH(C54,STDHVAC_N[Measure Name],0)))</f>
        <v/>
      </c>
      <c r="K54" s="940"/>
      <c r="L54" s="943" t="str">
        <f>IF(C54="","",INDEX(STDHVAC_N[Base Efficiency 1],MATCH(C54,STDHVAC_N[Measure Name],0)))</f>
        <v/>
      </c>
      <c r="M54" s="943"/>
      <c r="N54" s="945"/>
      <c r="O54" s="946"/>
      <c r="P54" s="939" t="str">
        <f>IF(C54="","",INDEX(STDHVAC_N[Eff Unit 2],MATCH(C54,STDHVAC_N[Measure Name],0)))</f>
        <v/>
      </c>
      <c r="Q54" s="940"/>
      <c r="R54" s="943" t="str">
        <f>IF(C54="","",INDEX(STDHVAC_N[Base Efficiency 2],MATCH(C54,STDHVAC_N[Measure Name],0)))</f>
        <v/>
      </c>
      <c r="S54" s="943"/>
      <c r="T54" s="949" t="str">
        <f t="shared" ref="T54" si="35">IF(AND(ISNUMBER(SEARCH("DX",C54)),ISNUMBER(SEARCH("&lt;65 kbtu",C54)),N54&lt;&gt;""),1.12*N54-0.02*N54^2,IF(ISNUMBER(SEARCH("PTAC",C54)),1,""))</f>
        <v/>
      </c>
      <c r="U54" s="950"/>
      <c r="V54" s="955"/>
      <c r="W54" s="956"/>
      <c r="X54" s="993"/>
      <c r="Y54" s="994"/>
      <c r="Z54" s="995"/>
      <c r="AA54" s="1015"/>
      <c r="AB54" s="889"/>
      <c r="AC54" s="889"/>
      <c r="AD54" s="935"/>
      <c r="AE54" s="977"/>
      <c r="AF54" s="978"/>
      <c r="AG54" s="978"/>
      <c r="AH54" s="981"/>
      <c r="AI54" s="985" t="str">
        <f>IF(C54="","",INDEX(STDHVAC_N[Current Unit],MATCH(C54,STDHVAC_N[Measure Name],0)))</f>
        <v/>
      </c>
      <c r="AJ54" s="985"/>
      <c r="AK54" s="985"/>
      <c r="AL54" s="986"/>
      <c r="AM54" s="998" t="str">
        <f>IFERROR(IF(C54="","",INDEX(IF(AND(ACTIVEBONUS_N = TRUE,INDEX(STDHVAC_N[Bonus Incentive],MATCH(C54,STDHVAC_N[Measure Name],0))&lt;&gt; ""),STDHVAC_N[Bonus Incentive],STDHVAC_N[Base Incentive]),MATCH(C54,STDHVAC_N[Measure Name],0))),"")</f>
        <v/>
      </c>
      <c r="AN54" s="999"/>
      <c r="AO54" s="987" t="str">
        <f>IFERROR(IF(OR(C54="",N54="",V54="",AA54="",T54="",AE54="",AG54=""),"",BF54),"")</f>
        <v/>
      </c>
      <c r="AP54" s="987"/>
      <c r="AQ54" s="987"/>
      <c r="AR54" s="969" t="str">
        <f>IFERROR(IF(OR(C54="",N54="",V54="",AA54="",T54="",AE54="",AG54=""),"",IF(BK54&lt;&gt;"",BK54,IF(BT54&gt;0,BT54,ROUND(IF(AO54&lt;=0,0,MIN(AY54,BH54)), 2)))), "")</f>
        <v/>
      </c>
      <c r="AS54" s="969"/>
      <c r="AT54" s="969"/>
      <c r="AU54" s="969"/>
      <c r="AV54" s="21"/>
      <c r="AY54" s="971" t="str">
        <f>IF(OR(C54="",N54="",V54="",AA54="",T54="",AE54="",AG54=""),"",IF(AO54=0,"",ROUND(AE54+AG54,2)))</f>
        <v/>
      </c>
      <c r="AZ54" s="973" t="str">
        <f>IFERROR(IF(OR(C54="",N54="",V54="",AA54="",T54="",AE54="",AG54=""),"",INDEX(STDHVAC_N[Current Unit],MATCH(C54,STDHVAC_N[Measure Name],0))),"Err")</f>
        <v/>
      </c>
      <c r="BA54" s="975" t="str">
        <f>IF(
OR(C54="",N54="",T54="",V54="",AA54="",AE54="",AG54=""),"",
IF(OR(ISNUMBER(SEARCH("PTAC",C54)),ISNUMBER(SEARCH("PTHP",C54))),
ROUND(V54*INDEX(STDHVAC_N[Electric Energy Savings (Annual kWh/unit)],MATCH(C54,#REF!,0)),4),
ROUND(V54*ABS(N54-L54)*INDEX(STDHVAC_N[Electric Energy Savings (Annual kWh/unit)],MATCH(C54,STDHVAC_N[Measure Name],0)),4)
))</f>
        <v/>
      </c>
      <c r="BB54" s="975" t="str">
        <f>IF(
OR(C54="",N54="",T54="",V54="",AA54="",AE54="",AG54=""),"",
IF(OR(ISNUMBER(SEARCH("PTAC",C54)),ISNUMBER(SEARCH("PTHP",C54))),
ROUND(V54*INDEX(STDHVAC_N[Coincident Peak Demand Savings (kW/unit)],MATCH(C54,STDHVAC_N[Measure Name],0)),4),
ROUND(V54*ABS(N54-L54)*INDEX(STDHVAC_N[Coincident Peak Demand Savings (kW/unit)],MATCH(C54,STDHVAC_N[Measure Name],0)),4)
))</f>
        <v/>
      </c>
      <c r="BC54" s="962"/>
      <c r="BD54" s="962"/>
      <c r="BE54" s="963" t="str">
        <f>IFERROR(IF(OR(C54="",N54="",V54="",AA54="",T54="",AE54="",AG54=""),"",INDEX(STDHVAC_N[End Use],MATCH(C54,STDHVAC_N[Measure Name],0))),"Err")</f>
        <v/>
      </c>
      <c r="BF54" s="965" t="str">
        <f>IF(C54&lt;&gt;"", _xlfn.LET(
_xlpm.Tons_Cool, V54, _xlpm.PLC_Base, L54, _xlpm.PLC_Eff, N54, _xlpm.Tons_Heat, BQ54, _xlpm.Other_Base, R54, _xlpm.Other_Eff, T54,
_xlpm.EFLH_Cool,
INDEX(STDHVAC_N[EFLHcool],MATCH(C54,STDHVAC_N[Measure Name],0)),
_xlpm.EFLH_Heat,
INDEX(STDHVAC_N[EFLHheat],MATCH(C54,STDHVAC_N[Measure Name],0)),
_xlpm.ElecHeat,
INDEX(SPACEHEAT[ELECHEAT],MATCH(N02S03F29,SPACEHEAT[Space Conditioning],0)),
_xlpm.kWhCool,
ROUND(
IF(OR(ISNUMBER(SEARCH("DX", C54)),ISNUMBER(SEARCH("ASHP", C54)), ISNUMBER(SEARCH("PTAC", C54)), ISNUMBER(SEARCH("PTHP", C54)), ISNUMBER(SEARCH("Air-Cooled Chiller", C54)), ISNUMBER(SEARCH("VRF", C54))),
_xlpm.Tons_Cool * (12/_xlpm.PLC_Base - 12/_xlpm.PLC_Eff)*_xlpm.EFLH_Cool,
IF(ISNUMBER(SEARCH("Water", C54)),
_xlpm.Tons_Cool * (_xlpm.PLC_Base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(1/_xlpm.Other_Base - 1/_xlpm.Other_Eff) * _xlpm.EFLH_Heat,
" "
)),4),
0
),
IFERROR(_xlpm.kWhCool + _xlpm.kWhHeat, "Measure Not Specified.")
), "")</f>
        <v/>
      </c>
      <c r="BG54" s="965" t="str">
        <f t="shared" ref="BG54" si="36">IF(C54&lt;&gt;"", _xlfn.LET(
_xlpm.Tons, V54, _xlpm.PCF, 0.913,
IF(AND(ISNUMBER(SEARCH("DX",C54)),ISNUMBER(SEARCH("&lt;65 kbtu",C54))),
_xlpm.Tons * (12/11.42-12/MAX(11.42,T54))*_xlpm.PCF,
IF(OR(ISNUMBER(SEARCH("DX", C54)), ISNUMBER(SEARCH("Air-Cooled Chiller", C54)), ISNUMBER(SEARCH("VRF", C54))),
_xlpm.Tons * (12/R54 - 12/T54) * _xlpm.PCF,
IF(ISNUMBER(SEARCH("Water", C54)),
_xlpm.Tons * (R54-T54) * _xlpm.PCF,
IF(ISNUMBER(SEARCH("ASHP", C54)),
_xlpm.Tons * (12/BO54 - 12/BP54) * _xlpm.PCF,
IF(OR(ISNUMBER(SEARCH("PTAC", C54)), ISNUMBER(SEARCH("PTHP", C54))),
_xlpm.Tons * (12/L54 - 12/N54) * _xlpm.PCF,
"Measure Not Specified.")))))), "")</f>
        <v/>
      </c>
      <c r="BH54" s="1004" t="str">
        <f>IFERROR(IF(AI54="per ton", ROUND(V54*AM54, 2),
IF(AND(ISNUMBER(SEARCH("Air-Cooled Chiller",C54)),AI54="$/ton/IPLV"), ROUND((12/L54-12/N54)*V54*AM54, 2),
ROUND(ABS(N54-L54)*V54*AM54, 2))), "")</f>
        <v/>
      </c>
      <c r="BI54" s="967" t="str">
        <f>IFERROR(IF(OR(C54="",N54="",V54="",AA54="",T54="",AE54="",AG54="",ISNUMBER(AR54)=FALSE,AR54=0),"",INDEX(STDHVAC_N[Measure Number],MATCH(C54,STDHVAC_N[Measure Name],0))),"Err")</f>
        <v/>
      </c>
      <c r="BJ54" s="996" t="str">
        <f>IFERROR(IF(BT54="",IF(AR54 &lt; BH54, "100% Total Cost", ""), ""), "")</f>
        <v/>
      </c>
      <c r="BK54" s="967" t="str">
        <f>IFERROR(
IF(OR(C54="",J54="",L54="",N54="",P54="",R54="",T54="",V54="",AE54="",AG54=""),
"",
IF(BT54&gt;0,"",IF(OR(AND(ISNUMBER(SEARCH("kW/ton", J54)),OR(L54&lt;N54,R54&lt;T54)),AND(NOT(ISNUMBER(SEARCH("kW/ton", J54))),OR(L54&gt;N54,R54&gt;T54))),
"Must Improve Efficiency",
IF(EXPIRATION&lt;&gt;"",PROJSTATEXP,"")))),
"")</f>
        <v/>
      </c>
      <c r="BL54" s="959" t="str">
        <f>IFERROR(INDEX(STDHVAC_N[Measure Life (Years)],MATCH(C54,STDHVAC_N[Measure Name],0)),"")</f>
        <v/>
      </c>
      <c r="BM54" s="787" t="str">
        <f>IFERROR(IF(OR(C54="",N54="",V54="",AA54="",T54="",AE54="",AG54=""),"",
ROUND(((1+ELOSS)*((BA54*INDEX(ELECCB[NPV AEC $/kWh],MATCH(BL54,ELECCB[Year Number],1)))+(BB54*INDEX(ELECCB[NPV ACC $/kW],MATCH(BL54,ELECCB[Year Number],1))))),2)),0)</f>
        <v/>
      </c>
      <c r="BN54" s="1006" t="str">
        <f>IFERROR(IF(INDEX(STDHVAC_N[Eff Unit 3],MATCH(C54,STDHVAC_N[Measure Name],0))="","",INDEX(STDHVAC_N[Eff Unit 3],MATCH(C54,STDHVAC_N[Measure Name],0))),"")</f>
        <v/>
      </c>
      <c r="BO54" s="1008" t="str">
        <f>IFERROR(IF(INDEX(STDHVAC_N[Base Efficiency 3],MATCH(C54,STDHVAC_N[Measure Name],0))="","",INDEX(STDHVAC_N[Base Efficiency 3],MATCH(C54,STDHVAC_N[Measure Name],0))),"")</f>
        <v/>
      </c>
      <c r="BP54" s="1010" t="str">
        <f>IFERROR(IF(ISNUMBER(SEARCH("Air-Cooled Chiller",$C54)),12/N54,""),"")</f>
        <v/>
      </c>
      <c r="BQ54" s="1012"/>
      <c r="BR54" s="1014" t="str">
        <f>IFERROR(IF(BI54="","",INDEX(STDHVAC_N[Reporting Methodology],MATCH(C54,STDHVAC_N[Measure Name],0))),"Err")</f>
        <v/>
      </c>
      <c r="BS54" s="787" t="str">
        <f>IFERROR(IF(OR(C54="",V54=""),"",INDEX(STDHVAC_N[Incremental Measure Cost ($/Unit)],MATCH(C54,STDHVAC_N[Measure Name],0))*V54),"Err")</f>
        <v/>
      </c>
      <c r="BT54" s="853"/>
    </row>
    <row r="55" spans="2:72" ht="15.95" customHeight="1">
      <c r="B55" s="800"/>
      <c r="C55" s="936"/>
      <c r="D55" s="937"/>
      <c r="E55" s="937"/>
      <c r="F55" s="937"/>
      <c r="G55" s="937"/>
      <c r="H55" s="937"/>
      <c r="I55" s="938"/>
      <c r="J55" s="941"/>
      <c r="K55" s="942"/>
      <c r="L55" s="944"/>
      <c r="M55" s="944"/>
      <c r="N55" s="947"/>
      <c r="O55" s="948"/>
      <c r="P55" s="941"/>
      <c r="Q55" s="942"/>
      <c r="R55" s="944"/>
      <c r="S55" s="944"/>
      <c r="T55" s="951"/>
      <c r="U55" s="952"/>
      <c r="V55" s="955"/>
      <c r="W55" s="956"/>
      <c r="X55" s="936"/>
      <c r="Y55" s="937"/>
      <c r="Z55" s="938"/>
      <c r="AA55" s="1016"/>
      <c r="AB55" s="937"/>
      <c r="AC55" s="937"/>
      <c r="AD55" s="938"/>
      <c r="AE55" s="979"/>
      <c r="AF55" s="980"/>
      <c r="AG55" s="980"/>
      <c r="AH55" s="982"/>
      <c r="AI55" s="985"/>
      <c r="AJ55" s="985"/>
      <c r="AK55" s="985"/>
      <c r="AL55" s="986"/>
      <c r="AM55" s="991"/>
      <c r="AN55" s="992"/>
      <c r="AO55" s="988"/>
      <c r="AP55" s="988"/>
      <c r="AQ55" s="988"/>
      <c r="AR55" s="970"/>
      <c r="AS55" s="970"/>
      <c r="AT55" s="970"/>
      <c r="AU55" s="970"/>
      <c r="AV55" s="21"/>
      <c r="AY55" s="972"/>
      <c r="AZ55" s="974"/>
      <c r="BA55" s="976"/>
      <c r="BB55" s="976"/>
      <c r="BC55" s="962"/>
      <c r="BD55" s="962"/>
      <c r="BE55" s="964"/>
      <c r="BF55" s="966"/>
      <c r="BG55" s="966"/>
      <c r="BH55" s="1005"/>
      <c r="BI55" s="968"/>
      <c r="BJ55" s="997"/>
      <c r="BK55" s="968"/>
      <c r="BL55" s="960"/>
      <c r="BM55" s="788"/>
      <c r="BN55" s="1007"/>
      <c r="BO55" s="1009"/>
      <c r="BP55" s="1011"/>
      <c r="BQ55" s="1013"/>
      <c r="BR55" s="849"/>
      <c r="BS55" s="788"/>
      <c r="BT55" s="854"/>
    </row>
    <row r="56" spans="2:72" ht="15.95" customHeight="1">
      <c r="B56" s="800">
        <v>20</v>
      </c>
      <c r="C56" s="993"/>
      <c r="D56" s="994"/>
      <c r="E56" s="994"/>
      <c r="F56" s="994"/>
      <c r="G56" s="994"/>
      <c r="H56" s="994"/>
      <c r="I56" s="995"/>
      <c r="J56" s="939" t="str">
        <f>IF(C56="","",INDEX(STDHVAC_N[Eff Unit 1],MATCH(C56,STDHVAC_N[Measure Name],0)))</f>
        <v/>
      </c>
      <c r="K56" s="940"/>
      <c r="L56" s="943" t="str">
        <f>IF(C56="","",INDEX(STDHVAC_N[Base Efficiency 1],MATCH(C56,STDHVAC_N[Measure Name],0)))</f>
        <v/>
      </c>
      <c r="M56" s="943"/>
      <c r="N56" s="945"/>
      <c r="O56" s="946"/>
      <c r="P56" s="939" t="str">
        <f>IF(C56="","",INDEX(STDHVAC_N[Eff Unit 2],MATCH(C56,STDHVAC_N[Measure Name],0)))</f>
        <v/>
      </c>
      <c r="Q56" s="940"/>
      <c r="R56" s="943" t="str">
        <f>IF(C56="","",INDEX(STDHVAC_N[Base Efficiency 2],MATCH(C56,STDHVAC_N[Measure Name],0)))</f>
        <v/>
      </c>
      <c r="S56" s="943"/>
      <c r="T56" s="949" t="str">
        <f t="shared" ref="T56" si="37">IF(AND(ISNUMBER(SEARCH("DX",C56)),ISNUMBER(SEARCH("&lt;65 kbtu",C56)),N56&lt;&gt;""),1.12*N56-0.02*N56^2,IF(ISNUMBER(SEARCH("PTAC",C56)),1,""))</f>
        <v/>
      </c>
      <c r="U56" s="950"/>
      <c r="V56" s="955"/>
      <c r="W56" s="956"/>
      <c r="X56" s="993"/>
      <c r="Y56" s="994"/>
      <c r="Z56" s="995"/>
      <c r="AA56" s="1015"/>
      <c r="AB56" s="889"/>
      <c r="AC56" s="889"/>
      <c r="AD56" s="935"/>
      <c r="AE56" s="977"/>
      <c r="AF56" s="978"/>
      <c r="AG56" s="978"/>
      <c r="AH56" s="981"/>
      <c r="AI56" s="985" t="str">
        <f>IF(C56="","",INDEX(STDHVAC_N[Current Unit],MATCH(C56,STDHVAC_N[Measure Name],0)))</f>
        <v/>
      </c>
      <c r="AJ56" s="985"/>
      <c r="AK56" s="985"/>
      <c r="AL56" s="986"/>
      <c r="AM56" s="998" t="str">
        <f>IFERROR(IF(C56="","",INDEX(IF(AND(ACTIVEBONUS_N = TRUE,INDEX(STDHVAC_N[Bonus Incentive],MATCH(C56,STDHVAC_N[Measure Name],0))&lt;&gt; ""),STDHVAC_N[Bonus Incentive],STDHVAC_N[Base Incentive]),MATCH(C56,STDHVAC_N[Measure Name],0))),"")</f>
        <v/>
      </c>
      <c r="AN56" s="999"/>
      <c r="AO56" s="987" t="str">
        <f>IFERROR(IF(OR(C56="",N56="",V56="",AA56="",T56="",AE56="",AG56=""),"",BF56),"")</f>
        <v/>
      </c>
      <c r="AP56" s="987"/>
      <c r="AQ56" s="987"/>
      <c r="AR56" s="969" t="str">
        <f>IFERROR(IF(OR(C56="",N56="",V56="",AA56="",T56="",AE56="",AG56=""),"",IF(BK56&lt;&gt;"",BK56,IF(BT56&gt;0,BT56,ROUND(IF(AO56&lt;=0,0,MIN(AY56,BH56)), 2)))), "")</f>
        <v/>
      </c>
      <c r="AS56" s="969"/>
      <c r="AT56" s="969"/>
      <c r="AU56" s="969"/>
      <c r="AV56" s="21"/>
      <c r="AY56" s="971" t="str">
        <f>IF(OR(C56="",N56="",V56="",AA56="",T56="",AE56="",AG56=""),"",IF(AO56=0,"",ROUND(AE56+AG56,2)))</f>
        <v/>
      </c>
      <c r="AZ56" s="973" t="str">
        <f>IFERROR(IF(OR(C56="",N56="",V56="",AA56="",T56="",AE56="",AG56=""),"",INDEX(STDHVAC_N[Current Unit],MATCH(C56,STDHVAC_N[Measure Name],0))),"Err")</f>
        <v/>
      </c>
      <c r="BA56" s="975" t="str">
        <f>IF(
OR(C56="",N56="",T56="",V56="",AA56="",AE56="",AG56=""),"",
IF(OR(ISNUMBER(SEARCH("PTAC",C56)),ISNUMBER(SEARCH("PTHP",C56))),
ROUND(V56*INDEX(STDHVAC_N[Electric Energy Savings (Annual kWh/unit)],MATCH(C56,#REF!,0)),4),
ROUND(V56*ABS(N56-L56)*INDEX(STDHVAC_N[Electric Energy Savings (Annual kWh/unit)],MATCH(C56,STDHVAC_N[Measure Name],0)),4)
))</f>
        <v/>
      </c>
      <c r="BB56" s="975" t="str">
        <f>IF(
OR(C56="",N56="",T56="",V56="",AA56="",AE56="",AG56=""),"",
IF(OR(ISNUMBER(SEARCH("PTAC",C56)),ISNUMBER(SEARCH("PTHP",C56))),
ROUND(V56*INDEX(STDHVAC_N[Coincident Peak Demand Savings (kW/unit)],MATCH(C56,STDHVAC_N[Measure Name],0)),4),
ROUND(V56*ABS(N56-L56)*INDEX(STDHVAC_N[Coincident Peak Demand Savings (kW/unit)],MATCH(C56,STDHVAC_N[Measure Name],0)),4)
))</f>
        <v/>
      </c>
      <c r="BC56" s="962"/>
      <c r="BD56" s="962"/>
      <c r="BE56" s="963" t="str">
        <f>IFERROR(IF(OR(C56="",N56="",V56="",AA56="",T56="",AE56="",AG56=""),"",INDEX(STDHVAC_N[End Use],MATCH(C56,STDHVAC_N[Measure Name],0))),"Err")</f>
        <v/>
      </c>
      <c r="BF56" s="965" t="str">
        <f>IF(C56&lt;&gt;"", _xlfn.LET(
_xlpm.Tons_Cool, V56, _xlpm.PLC_Base, L56, _xlpm.PLC_Eff, N56, _xlpm.Tons_Heat, BQ56, _xlpm.Other_Base, R56, _xlpm.Other_Eff, T56,
_xlpm.EFLH_Cool,
INDEX(STDHVAC_N[EFLHcool],MATCH(C56,STDHVAC_N[Measure Name],0)),
_xlpm.EFLH_Heat,
INDEX(STDHVAC_N[EFLHheat],MATCH(C56,STDHVAC_N[Measure Name],0)),
_xlpm.ElecHeat,
INDEX(SPACEHEAT[ELECHEAT],MATCH(N02S03F29,SPACEHEAT[Space Conditioning],0)),
_xlpm.kWhCool,
ROUND(
IF(OR(ISNUMBER(SEARCH("DX", C56)),ISNUMBER(SEARCH("ASHP", C56)), ISNUMBER(SEARCH("PTAC", C56)), ISNUMBER(SEARCH("PTHP", C56)), ISNUMBER(SEARCH("Air-Cooled Chiller", C56)), ISNUMBER(SEARCH("VRF", C56))),
_xlpm.Tons_Cool * (12/_xlpm.PLC_Base - 12/_xlpm.PLC_Eff)*_xlpm.EFLH_Cool,
IF(ISNUMBER(SEARCH("Water", C56)),
_xlpm.Tons_Cool * (_xlpm.PLC_Base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(1/_xlpm.Other_Base - 1/_xlpm.Other_Eff) * _xlpm.EFLH_Heat,
" "
)),4),
0
),
IFERROR(_xlpm.kWhCool + _xlpm.kWhHeat, "Measure Not Specified.")
), "")</f>
        <v/>
      </c>
      <c r="BG56" s="965" t="str">
        <f t="shared" ref="BG56" si="38">IF(C56&lt;&gt;"", _xlfn.LET(
_xlpm.Tons, V56, _xlpm.PCF, 0.913,
IF(AND(ISNUMBER(SEARCH("DX",C56)),ISNUMBER(SEARCH("&lt;65 kbtu",C56))),
_xlpm.Tons * (12/11.42-12/MAX(11.42,T56))*_xlpm.PCF,
IF(OR(ISNUMBER(SEARCH("DX", C56)), ISNUMBER(SEARCH("Air-Cooled Chiller", C56)), ISNUMBER(SEARCH("VRF", C56))),
_xlpm.Tons * (12/R56 - 12/T56) * _xlpm.PCF,
IF(ISNUMBER(SEARCH("Water", C56)),
_xlpm.Tons * (R56-T56) * _xlpm.PCF,
IF(ISNUMBER(SEARCH("ASHP", C56)),
_xlpm.Tons * (12/BO56 - 12/BP56) * _xlpm.PCF,
IF(OR(ISNUMBER(SEARCH("PTAC", C56)), ISNUMBER(SEARCH("PTHP", C56))),
_xlpm.Tons * (12/L56 - 12/N56) * _xlpm.PCF,
"Measure Not Specified.")))))), "")</f>
        <v/>
      </c>
      <c r="BH56" s="1004" t="str">
        <f>IFERROR(IF(AI56="per ton", ROUND(V56*AM56, 2),
IF(AND(ISNUMBER(SEARCH("Air-Cooled Chiller",C56)),AI56="$/ton/IPLV"), ROUND((12/L56-12/N56)*V56*AM56, 2),
ROUND(ABS(N56-L56)*V56*AM56, 2))), "")</f>
        <v/>
      </c>
      <c r="BI56" s="967" t="str">
        <f>IFERROR(IF(OR(C56="",N56="",V56="",AA56="",T56="",AE56="",AG56="",ISNUMBER(AR56)=FALSE,AR56=0),"",INDEX(STDHVAC_N[Measure Number],MATCH(C56,STDHVAC_N[Measure Name],0))),"Err")</f>
        <v/>
      </c>
      <c r="BJ56" s="996" t="str">
        <f>IFERROR(IF(BT56="",IF(AR56 &lt; BH56, "100% Total Cost", ""), ""), "")</f>
        <v/>
      </c>
      <c r="BK56" s="967" t="str">
        <f>IFERROR(
IF(OR(C56="",J56="",L56="",N56="",P56="",R56="",T56="",V56="",AE56="",AG56=""),
"",
IF(BT56&gt;0,"",IF(OR(AND(ISNUMBER(SEARCH("kW/ton", J56)),OR(L56&lt;N56,R56&lt;T56)),AND(NOT(ISNUMBER(SEARCH("kW/ton", J56))),OR(L56&gt;N56,R56&gt;T56))),
"Must Improve Efficiency",
IF(EXPIRATION&lt;&gt;"",PROJSTATEXP,"")))),
"")</f>
        <v/>
      </c>
      <c r="BL56" s="959" t="str">
        <f>IFERROR(INDEX(STDHVAC_N[Measure Life (Years)],MATCH(C56,STDHVAC_N[Measure Name],0)),"")</f>
        <v/>
      </c>
      <c r="BM56" s="787" t="str">
        <f>IFERROR(IF(OR(C56="",N56="",V56="",AA56="",T56="",AE56="",AG56=""),"",
ROUND(((1+ELOSS)*((BA56*INDEX(ELECCB[NPV AEC $/kWh],MATCH(BL56,ELECCB[Year Number],1)))+(BB56*INDEX(ELECCB[NPV ACC $/kW],MATCH(BL56,ELECCB[Year Number],1))))),2)),0)</f>
        <v/>
      </c>
      <c r="BN56" s="1006" t="str">
        <f>IFERROR(IF(INDEX(STDHVAC_N[Eff Unit 3],MATCH(C56,STDHVAC_N[Measure Name],0))="","",INDEX(STDHVAC_N[Eff Unit 3],MATCH(C56,STDHVAC_N[Measure Name],0))),"")</f>
        <v/>
      </c>
      <c r="BO56" s="1008" t="str">
        <f>IFERROR(IF(INDEX(STDHVAC_N[Base Efficiency 3],MATCH(C56,STDHVAC_N[Measure Name],0))="","",INDEX(STDHVAC_N[Base Efficiency 3],MATCH(C56,STDHVAC_N[Measure Name],0))),"")</f>
        <v/>
      </c>
      <c r="BP56" s="1010" t="str">
        <f>IFERROR(IF(ISNUMBER(SEARCH("Air-Cooled Chiller",$C56)),12/N56,""),"")</f>
        <v/>
      </c>
      <c r="BQ56" s="1012"/>
      <c r="BR56" s="1014" t="str">
        <f>IFERROR(IF(BI56="","",INDEX(STDHVAC_N[Reporting Methodology],MATCH(C56,STDHVAC_N[Measure Name],0))),"Err")</f>
        <v/>
      </c>
      <c r="BS56" s="787" t="str">
        <f>IFERROR(IF(OR(C56="",V56=""),"",INDEX(STDHVAC_N[Incremental Measure Cost ($/Unit)],MATCH(C56,STDHVAC_N[Measure Name],0))*V56),"Err")</f>
        <v/>
      </c>
      <c r="BT56" s="853"/>
    </row>
    <row r="57" spans="2:72" ht="15.95" customHeight="1">
      <c r="B57" s="800"/>
      <c r="C57" s="936"/>
      <c r="D57" s="937"/>
      <c r="E57" s="937"/>
      <c r="F57" s="937"/>
      <c r="G57" s="937"/>
      <c r="H57" s="937"/>
      <c r="I57" s="938"/>
      <c r="J57" s="941"/>
      <c r="K57" s="942"/>
      <c r="L57" s="944"/>
      <c r="M57" s="944"/>
      <c r="N57" s="947"/>
      <c r="O57" s="948"/>
      <c r="P57" s="941"/>
      <c r="Q57" s="942"/>
      <c r="R57" s="944"/>
      <c r="S57" s="944"/>
      <c r="T57" s="951"/>
      <c r="U57" s="952"/>
      <c r="V57" s="955"/>
      <c r="W57" s="956"/>
      <c r="X57" s="936"/>
      <c r="Y57" s="937"/>
      <c r="Z57" s="938"/>
      <c r="AA57" s="1016"/>
      <c r="AB57" s="937"/>
      <c r="AC57" s="937"/>
      <c r="AD57" s="938"/>
      <c r="AE57" s="979"/>
      <c r="AF57" s="980"/>
      <c r="AG57" s="980"/>
      <c r="AH57" s="982"/>
      <c r="AI57" s="985"/>
      <c r="AJ57" s="985"/>
      <c r="AK57" s="985"/>
      <c r="AL57" s="986"/>
      <c r="AM57" s="991"/>
      <c r="AN57" s="992"/>
      <c r="AO57" s="988"/>
      <c r="AP57" s="988"/>
      <c r="AQ57" s="988"/>
      <c r="AR57" s="970"/>
      <c r="AS57" s="970"/>
      <c r="AT57" s="970"/>
      <c r="AU57" s="970"/>
      <c r="AV57" s="21"/>
      <c r="AY57" s="972"/>
      <c r="AZ57" s="974"/>
      <c r="BA57" s="976"/>
      <c r="BB57" s="976"/>
      <c r="BC57" s="962"/>
      <c r="BD57" s="962"/>
      <c r="BE57" s="964"/>
      <c r="BF57" s="966"/>
      <c r="BG57" s="966"/>
      <c r="BH57" s="1005"/>
      <c r="BI57" s="968"/>
      <c r="BJ57" s="997"/>
      <c r="BK57" s="968"/>
      <c r="BL57" s="960"/>
      <c r="BM57" s="788"/>
      <c r="BN57" s="1007"/>
      <c r="BO57" s="1009"/>
      <c r="BP57" s="1011"/>
      <c r="BQ57" s="1013"/>
      <c r="BR57" s="849"/>
      <c r="BS57" s="788"/>
      <c r="BT57" s="854"/>
    </row>
    <row r="58" spans="2:72" ht="15.95" customHeight="1">
      <c r="B58" s="800">
        <v>21</v>
      </c>
      <c r="C58" s="993"/>
      <c r="D58" s="994"/>
      <c r="E58" s="994"/>
      <c r="F58" s="994"/>
      <c r="G58" s="994"/>
      <c r="H58" s="994"/>
      <c r="I58" s="995"/>
      <c r="J58" s="939" t="str">
        <f>IF(C58="","",INDEX(STDHVAC_N[Eff Unit 1],MATCH(C58,STDHVAC_N[Measure Name],0)))</f>
        <v/>
      </c>
      <c r="K58" s="940"/>
      <c r="L58" s="943" t="str">
        <f>IF(C58="","",INDEX(STDHVAC_N[Base Efficiency 1],MATCH(C58,STDHVAC_N[Measure Name],0)))</f>
        <v/>
      </c>
      <c r="M58" s="943"/>
      <c r="N58" s="945"/>
      <c r="O58" s="946"/>
      <c r="P58" s="939" t="str">
        <f>IF(C58="","",INDEX(STDHVAC_N[Eff Unit 2],MATCH(C58,STDHVAC_N[Measure Name],0)))</f>
        <v/>
      </c>
      <c r="Q58" s="940"/>
      <c r="R58" s="943" t="str">
        <f>IF(C58="","",INDEX(STDHVAC_N[Base Efficiency 2],MATCH(C58,STDHVAC_N[Measure Name],0)))</f>
        <v/>
      </c>
      <c r="S58" s="943"/>
      <c r="T58" s="949" t="str">
        <f t="shared" ref="T58" si="39">IF(AND(ISNUMBER(SEARCH("DX",C58)),ISNUMBER(SEARCH("&lt;65 kbtu",C58)),N58&lt;&gt;""),1.12*N58-0.02*N58^2,IF(ISNUMBER(SEARCH("PTAC",C58)),1,""))</f>
        <v/>
      </c>
      <c r="U58" s="950"/>
      <c r="V58" s="955"/>
      <c r="W58" s="956"/>
      <c r="X58" s="993"/>
      <c r="Y58" s="994"/>
      <c r="Z58" s="995"/>
      <c r="AA58" s="1015"/>
      <c r="AB58" s="889"/>
      <c r="AC58" s="889"/>
      <c r="AD58" s="935"/>
      <c r="AE58" s="977"/>
      <c r="AF58" s="978"/>
      <c r="AG58" s="978"/>
      <c r="AH58" s="981"/>
      <c r="AI58" s="985" t="str">
        <f>IF(C58="","",INDEX(STDHVAC_N[Current Unit],MATCH(C58,STDHVAC_N[Measure Name],0)))</f>
        <v/>
      </c>
      <c r="AJ58" s="985"/>
      <c r="AK58" s="985"/>
      <c r="AL58" s="986"/>
      <c r="AM58" s="998" t="str">
        <f>IFERROR(IF(C58="","",INDEX(IF(AND(ACTIVEBONUS_N = TRUE,INDEX(STDHVAC_N[Bonus Incentive],MATCH(C58,STDHVAC_N[Measure Name],0))&lt;&gt; ""),STDHVAC_N[Bonus Incentive],STDHVAC_N[Base Incentive]),MATCH(C58,STDHVAC_N[Measure Name],0))),"")</f>
        <v/>
      </c>
      <c r="AN58" s="999"/>
      <c r="AO58" s="987" t="str">
        <f>IFERROR(IF(OR(C58="",N58="",V58="",AA58="",T58="",AE58="",AG58=""),"",BF58),"")</f>
        <v/>
      </c>
      <c r="AP58" s="987"/>
      <c r="AQ58" s="987"/>
      <c r="AR58" s="969" t="str">
        <f>IFERROR(IF(OR(C58="",N58="",V58="",AA58="",T58="",AE58="",AG58=""),"",IF(BK58&lt;&gt;"",BK58,IF(BT58&gt;0,BT58,ROUND(IF(AO58&lt;=0,0,MIN(AY58,BH58)), 2)))), "")</f>
        <v/>
      </c>
      <c r="AS58" s="969"/>
      <c r="AT58" s="969"/>
      <c r="AU58" s="969"/>
      <c r="AV58" s="21"/>
      <c r="AY58" s="971" t="str">
        <f>IF(OR(C58="",N58="",V58="",AA58="",T58="",AE58="",AG58=""),"",IF(AO58=0,"",ROUND(AE58+AG58,2)))</f>
        <v/>
      </c>
      <c r="AZ58" s="973" t="str">
        <f>IFERROR(IF(OR(C58="",N58="",V58="",AA58="",T58="",AE58="",AG58=""),"",INDEX(STDHVAC_N[Current Unit],MATCH(C58,STDHVAC_N[Measure Name],0))),"Err")</f>
        <v/>
      </c>
      <c r="BA58" s="975" t="str">
        <f>IF(
OR(C58="",N58="",T58="",V58="",AA58="",AE58="",AG58=""),"",
IF(OR(ISNUMBER(SEARCH("PTAC",C58)),ISNUMBER(SEARCH("PTHP",C58))),
ROUND(V58*INDEX(STDHVAC_N[Electric Energy Savings (Annual kWh/unit)],MATCH(C58,#REF!,0)),4),
ROUND(V58*ABS(N58-L58)*INDEX(STDHVAC_N[Electric Energy Savings (Annual kWh/unit)],MATCH(C58,STDHVAC_N[Measure Name],0)),4)
))</f>
        <v/>
      </c>
      <c r="BB58" s="975" t="str">
        <f>IF(
OR(C58="",N58="",T58="",V58="",AA58="",AE58="",AG58=""),"",
IF(OR(ISNUMBER(SEARCH("PTAC",C58)),ISNUMBER(SEARCH("PTHP",C58))),
ROUND(V58*INDEX(STDHVAC_N[Coincident Peak Demand Savings (kW/unit)],MATCH(C58,STDHVAC_N[Measure Name],0)),4),
ROUND(V58*ABS(N58-L58)*INDEX(STDHVAC_N[Coincident Peak Demand Savings (kW/unit)],MATCH(C58,STDHVAC_N[Measure Name],0)),4)
))</f>
        <v/>
      </c>
      <c r="BC58" s="962"/>
      <c r="BD58" s="962"/>
      <c r="BE58" s="963" t="str">
        <f>IFERROR(IF(OR(C58="",N58="",V58="",AA58="",T58="",AE58="",AG58=""),"",INDEX(STDHVAC_N[End Use],MATCH(C58,STDHVAC_N[Measure Name],0))),"Err")</f>
        <v/>
      </c>
      <c r="BF58" s="965" t="str">
        <f>IF(C58&lt;&gt;"", _xlfn.LET(
_xlpm.Tons_Cool, V58, _xlpm.PLC_Base, L58, _xlpm.PLC_Eff, N58, _xlpm.Tons_Heat, BQ58, _xlpm.Other_Base, R58, _xlpm.Other_Eff, T58,
_xlpm.EFLH_Cool,
INDEX(STDHVAC_N[EFLHcool],MATCH(C58,STDHVAC_N[Measure Name],0)),
_xlpm.EFLH_Heat,
INDEX(STDHVAC_N[EFLHheat],MATCH(C58,STDHVAC_N[Measure Name],0)),
_xlpm.ElecHeat,
INDEX(SPACEHEAT[ELECHEAT],MATCH(N02S03F29,SPACEHEAT[Space Conditioning],0)),
_xlpm.kWhCool,
ROUND(
IF(OR(ISNUMBER(SEARCH("DX", C58)),ISNUMBER(SEARCH("ASHP", C58)), ISNUMBER(SEARCH("PTAC", C58)), ISNUMBER(SEARCH("PTHP", C58)), ISNUMBER(SEARCH("Air-Cooled Chiller", C58)), ISNUMBER(SEARCH("VRF", C58))),
_xlpm.Tons_Cool * (12/_xlpm.PLC_Base - 12/_xlpm.PLC_Eff)*_xlpm.EFLH_Cool,
IF(ISNUMBER(SEARCH("Water", C58)),
_xlpm.Tons_Cool * (_xlpm.PLC_Base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(1/_xlpm.Other_Base - 1/_xlpm.Other_Eff) * _xlpm.EFLH_Heat,
" "
)),4),
0
),
IFERROR(_xlpm.kWhCool + _xlpm.kWhHeat, "Measure Not Specified.")
), "")</f>
        <v/>
      </c>
      <c r="BG58" s="965" t="str">
        <f t="shared" ref="BG58" si="40">IF(C58&lt;&gt;"", _xlfn.LET(
_xlpm.Tons, V58, _xlpm.PCF, 0.913,
IF(AND(ISNUMBER(SEARCH("DX",C58)),ISNUMBER(SEARCH("&lt;65 kbtu",C58))),
_xlpm.Tons * (12/11.42-12/MAX(11.42,T58))*_xlpm.PCF,
IF(OR(ISNUMBER(SEARCH("DX", C58)), ISNUMBER(SEARCH("Air-Cooled Chiller", C58)), ISNUMBER(SEARCH("VRF", C58))),
_xlpm.Tons * (12/R58 - 12/T58) * _xlpm.PCF,
IF(ISNUMBER(SEARCH("Water", C58)),
_xlpm.Tons * (R58-T58) * _xlpm.PCF,
IF(ISNUMBER(SEARCH("ASHP", C58)),
_xlpm.Tons * (12/BO58 - 12/BP58) * _xlpm.PCF,
IF(OR(ISNUMBER(SEARCH("PTAC", C58)), ISNUMBER(SEARCH("PTHP", C58))),
_xlpm.Tons * (12/L58 - 12/N58) * _xlpm.PCF,
"Measure Not Specified.")))))), "")</f>
        <v/>
      </c>
      <c r="BH58" s="1004" t="str">
        <f>IFERROR(IF(AI58="per ton", ROUND(V58*AM58, 2),
IF(AND(ISNUMBER(SEARCH("Air-Cooled Chiller",C58)),AI58="$/ton/IPLV"), ROUND((12/L58-12/N58)*V58*AM58, 2),
ROUND(ABS(N58-L58)*V58*AM58, 2))), "")</f>
        <v/>
      </c>
      <c r="BI58" s="967" t="str">
        <f>IFERROR(IF(OR(C58="",N58="",V58="",AA58="",T58="",AE58="",AG58="",ISNUMBER(AR58)=FALSE,AR58=0),"",INDEX(STDHVAC_N[Measure Number],MATCH(C58,STDHVAC_N[Measure Name],0))),"Err")</f>
        <v/>
      </c>
      <c r="BJ58" s="996" t="str">
        <f>IFERROR(IF(BT58="",IF(AR58 &lt; BH58, "100% Total Cost", ""), ""), "")</f>
        <v/>
      </c>
      <c r="BK58" s="967" t="str">
        <f>IFERROR(
IF(OR(C58="",J58="",L58="",N58="",P58="",R58="",T58="",V58="",AE58="",AG58=""),
"",
IF(BT58&gt;0,"",IF(OR(AND(ISNUMBER(SEARCH("kW/ton", J58)),OR(L58&lt;N58,R58&lt;T58)),AND(NOT(ISNUMBER(SEARCH("kW/ton", J58))),OR(L58&gt;N58,R58&gt;T58))),
"Must Improve Efficiency",
IF(EXPIRATION&lt;&gt;"",PROJSTATEXP,"")))),
"")</f>
        <v/>
      </c>
      <c r="BL58" s="959" t="str">
        <f>IFERROR(INDEX(STDHVAC_N[Measure Life (Years)],MATCH(C58,STDHVAC_N[Measure Name],0)),"")</f>
        <v/>
      </c>
      <c r="BM58" s="787" t="str">
        <f>IFERROR(IF(OR(C58="",N58="",V58="",AA58="",T58="",AE58="",AG58=""),"",
ROUND(((1+ELOSS)*((BA58*INDEX(ELECCB[NPV AEC $/kWh],MATCH(BL58,ELECCB[Year Number],1)))+(BB58*INDEX(ELECCB[NPV ACC $/kW],MATCH(BL58,ELECCB[Year Number],1))))),2)),0)</f>
        <v/>
      </c>
      <c r="BN58" s="1006" t="str">
        <f>IFERROR(IF(INDEX(STDHVAC_N[Eff Unit 3],MATCH(C58,STDHVAC_N[Measure Name],0))="","",INDEX(STDHVAC_N[Eff Unit 3],MATCH(C58,STDHVAC_N[Measure Name],0))),"")</f>
        <v/>
      </c>
      <c r="BO58" s="1008" t="str">
        <f>IFERROR(IF(INDEX(STDHVAC_N[Base Efficiency 3],MATCH(C58,STDHVAC_N[Measure Name],0))="","",INDEX(STDHVAC_N[Base Efficiency 3],MATCH(C58,STDHVAC_N[Measure Name],0))),"")</f>
        <v/>
      </c>
      <c r="BP58" s="1010" t="str">
        <f>IFERROR(IF(ISNUMBER(SEARCH("Air-Cooled Chiller",$C58)),12/N58,""),"")</f>
        <v/>
      </c>
      <c r="BQ58" s="1012"/>
      <c r="BR58" s="1014" t="str">
        <f>IFERROR(IF(BI58="","",INDEX(STDHVAC_N[Reporting Methodology],MATCH(C58,STDHVAC_N[Measure Name],0))),"Err")</f>
        <v/>
      </c>
      <c r="BS58" s="787" t="str">
        <f>IFERROR(IF(OR(C58="",V58=""),"",INDEX(STDHVAC_N[Incremental Measure Cost ($/Unit)],MATCH(C58,STDHVAC_N[Measure Name],0))*V58),"Err")</f>
        <v/>
      </c>
      <c r="BT58" s="853"/>
    </row>
    <row r="59" spans="2:72" ht="15.95" customHeight="1">
      <c r="B59" s="800"/>
      <c r="C59" s="936"/>
      <c r="D59" s="937"/>
      <c r="E59" s="937"/>
      <c r="F59" s="937"/>
      <c r="G59" s="937"/>
      <c r="H59" s="937"/>
      <c r="I59" s="938"/>
      <c r="J59" s="941"/>
      <c r="K59" s="942"/>
      <c r="L59" s="944"/>
      <c r="M59" s="944"/>
      <c r="N59" s="947"/>
      <c r="O59" s="948"/>
      <c r="P59" s="941"/>
      <c r="Q59" s="942"/>
      <c r="R59" s="944"/>
      <c r="S59" s="944"/>
      <c r="T59" s="951"/>
      <c r="U59" s="952"/>
      <c r="V59" s="955"/>
      <c r="W59" s="956"/>
      <c r="X59" s="936"/>
      <c r="Y59" s="937"/>
      <c r="Z59" s="938"/>
      <c r="AA59" s="1016"/>
      <c r="AB59" s="937"/>
      <c r="AC59" s="937"/>
      <c r="AD59" s="938"/>
      <c r="AE59" s="979"/>
      <c r="AF59" s="980"/>
      <c r="AG59" s="980"/>
      <c r="AH59" s="982"/>
      <c r="AI59" s="985"/>
      <c r="AJ59" s="985"/>
      <c r="AK59" s="985"/>
      <c r="AL59" s="986"/>
      <c r="AM59" s="991"/>
      <c r="AN59" s="992"/>
      <c r="AO59" s="988"/>
      <c r="AP59" s="988"/>
      <c r="AQ59" s="988"/>
      <c r="AR59" s="970"/>
      <c r="AS59" s="970"/>
      <c r="AT59" s="970"/>
      <c r="AU59" s="970"/>
      <c r="AV59" s="21"/>
      <c r="AY59" s="972"/>
      <c r="AZ59" s="974"/>
      <c r="BA59" s="976"/>
      <c r="BB59" s="976"/>
      <c r="BC59" s="962"/>
      <c r="BD59" s="962"/>
      <c r="BE59" s="964"/>
      <c r="BF59" s="966"/>
      <c r="BG59" s="966"/>
      <c r="BH59" s="1005"/>
      <c r="BI59" s="968"/>
      <c r="BJ59" s="997"/>
      <c r="BK59" s="968"/>
      <c r="BL59" s="960"/>
      <c r="BM59" s="788"/>
      <c r="BN59" s="1007"/>
      <c r="BO59" s="1009"/>
      <c r="BP59" s="1011"/>
      <c r="BQ59" s="1013"/>
      <c r="BR59" s="849"/>
      <c r="BS59" s="788"/>
      <c r="BT59" s="854"/>
    </row>
    <row r="60" spans="2:72" ht="15.95" customHeight="1">
      <c r="B60" s="800">
        <v>22</v>
      </c>
      <c r="C60" s="993"/>
      <c r="D60" s="994"/>
      <c r="E60" s="994"/>
      <c r="F60" s="994"/>
      <c r="G60" s="994"/>
      <c r="H60" s="994"/>
      <c r="I60" s="995"/>
      <c r="J60" s="939" t="str">
        <f>IF(C60="","",INDEX(STDHVAC_N[Eff Unit 1],MATCH(C60,STDHVAC_N[Measure Name],0)))</f>
        <v/>
      </c>
      <c r="K60" s="940"/>
      <c r="L60" s="943" t="str">
        <f>IF(C60="","",INDEX(STDHVAC_N[Base Efficiency 1],MATCH(C60,STDHVAC_N[Measure Name],0)))</f>
        <v/>
      </c>
      <c r="M60" s="943"/>
      <c r="N60" s="945"/>
      <c r="O60" s="946"/>
      <c r="P60" s="939" t="str">
        <f>IF(C60="","",INDEX(STDHVAC_N[Eff Unit 2],MATCH(C60,STDHVAC_N[Measure Name],0)))</f>
        <v/>
      </c>
      <c r="Q60" s="940"/>
      <c r="R60" s="943" t="str">
        <f>IF(C60="","",INDEX(STDHVAC_N[Base Efficiency 2],MATCH(C60,STDHVAC_N[Measure Name],0)))</f>
        <v/>
      </c>
      <c r="S60" s="943"/>
      <c r="T60" s="949" t="str">
        <f t="shared" ref="T60" si="41">IF(AND(ISNUMBER(SEARCH("DX",C60)),ISNUMBER(SEARCH("&lt;65 kbtu",C60)),N60&lt;&gt;""),1.12*N60-0.02*N60^2,IF(ISNUMBER(SEARCH("PTAC",C60)),1,""))</f>
        <v/>
      </c>
      <c r="U60" s="950"/>
      <c r="V60" s="955"/>
      <c r="W60" s="956"/>
      <c r="X60" s="993"/>
      <c r="Y60" s="994"/>
      <c r="Z60" s="995"/>
      <c r="AA60" s="1015"/>
      <c r="AB60" s="889"/>
      <c r="AC60" s="889"/>
      <c r="AD60" s="935"/>
      <c r="AE60" s="977"/>
      <c r="AF60" s="978"/>
      <c r="AG60" s="978"/>
      <c r="AH60" s="981"/>
      <c r="AI60" s="985" t="str">
        <f>IF(C60="","",INDEX(STDHVAC_N[Current Unit],MATCH(C60,STDHVAC_N[Measure Name],0)))</f>
        <v/>
      </c>
      <c r="AJ60" s="985"/>
      <c r="AK60" s="985"/>
      <c r="AL60" s="986"/>
      <c r="AM60" s="998" t="str">
        <f>IFERROR(IF(C60="","",INDEX(IF(AND(ACTIVEBONUS_N = TRUE,INDEX(STDHVAC_N[Bonus Incentive],MATCH(C60,STDHVAC_N[Measure Name],0))&lt;&gt; ""),STDHVAC_N[Bonus Incentive],STDHVAC_N[Base Incentive]),MATCH(C60,STDHVAC_N[Measure Name],0))),"")</f>
        <v/>
      </c>
      <c r="AN60" s="999"/>
      <c r="AO60" s="987" t="str">
        <f>IFERROR(IF(OR(C60="",N60="",V60="",AA60="",T60="",AE60="",AG60=""),"",BF60),"")</f>
        <v/>
      </c>
      <c r="AP60" s="987"/>
      <c r="AQ60" s="987"/>
      <c r="AR60" s="969" t="str">
        <f>IFERROR(IF(OR(C60="",N60="",V60="",AA60="",T60="",AE60="",AG60=""),"",IF(BK60&lt;&gt;"",BK60,IF(BT60&gt;0,BT60,ROUND(IF(AO60&lt;=0,0,MIN(AY60,BH60)), 2)))), "")</f>
        <v/>
      </c>
      <c r="AS60" s="969"/>
      <c r="AT60" s="969"/>
      <c r="AU60" s="969"/>
      <c r="AV60" s="21"/>
      <c r="AY60" s="971" t="str">
        <f>IF(OR(C60="",N60="",V60="",AA60="",T60="",AE60="",AG60=""),"",IF(AO60=0,"",ROUND(AE60+AG60,2)))</f>
        <v/>
      </c>
      <c r="AZ60" s="973" t="str">
        <f>IFERROR(IF(OR(C60="",N60="",V60="",AA60="",T60="",AE60="",AG60=""),"",INDEX(STDHVAC_N[Current Unit],MATCH(C60,STDHVAC_N[Measure Name],0))),"Err")</f>
        <v/>
      </c>
      <c r="BA60" s="975" t="str">
        <f>IF(
OR(C60="",N60="",T60="",V60="",AA60="",AE60="",AG60=""),"",
IF(OR(ISNUMBER(SEARCH("PTAC",C60)),ISNUMBER(SEARCH("PTHP",C60))),
ROUND(V60*INDEX(STDHVAC_N[Electric Energy Savings (Annual kWh/unit)],MATCH(C60,#REF!,0)),4),
ROUND(V60*ABS(N60-L60)*INDEX(STDHVAC_N[Electric Energy Savings (Annual kWh/unit)],MATCH(C60,STDHVAC_N[Measure Name],0)),4)
))</f>
        <v/>
      </c>
      <c r="BB60" s="975" t="str">
        <f>IF(
OR(C60="",N60="",T60="",V60="",AA60="",AE60="",AG60=""),"",
IF(OR(ISNUMBER(SEARCH("PTAC",C60)),ISNUMBER(SEARCH("PTHP",C60))),
ROUND(V60*INDEX(STDHVAC_N[Coincident Peak Demand Savings (kW/unit)],MATCH(C60,STDHVAC_N[Measure Name],0)),4),
ROUND(V60*ABS(N60-L60)*INDEX(STDHVAC_N[Coincident Peak Demand Savings (kW/unit)],MATCH(C60,STDHVAC_N[Measure Name],0)),4)
))</f>
        <v/>
      </c>
      <c r="BC60" s="962"/>
      <c r="BD60" s="962"/>
      <c r="BE60" s="963" t="str">
        <f>IFERROR(IF(OR(C60="",N60="",V60="",AA60="",T60="",AE60="",AG60=""),"",INDEX(STDHVAC_N[End Use],MATCH(C60,STDHVAC_N[Measure Name],0))),"Err")</f>
        <v/>
      </c>
      <c r="BF60" s="965" t="str">
        <f>IF(C60&lt;&gt;"", _xlfn.LET(
_xlpm.Tons_Cool, V60, _xlpm.PLC_Base, L60, _xlpm.PLC_Eff, N60, _xlpm.Tons_Heat, BQ60, _xlpm.Other_Base, R60, _xlpm.Other_Eff, T60,
_xlpm.EFLH_Cool,
INDEX(STDHVAC_N[EFLHcool],MATCH(C60,STDHVAC_N[Measure Name],0)),
_xlpm.EFLH_Heat,
INDEX(STDHVAC_N[EFLHheat],MATCH(C60,STDHVAC_N[Measure Name],0)),
_xlpm.ElecHeat,
INDEX(SPACEHEAT[ELECHEAT],MATCH(N02S03F29,SPACEHEAT[Space Conditioning],0)),
_xlpm.kWhCool,
ROUND(
IF(OR(ISNUMBER(SEARCH("DX", C60)),ISNUMBER(SEARCH("ASHP", C60)), ISNUMBER(SEARCH("PTAC", C60)), ISNUMBER(SEARCH("PTHP", C60)), ISNUMBER(SEARCH("Air-Cooled Chiller", C60)), ISNUMBER(SEARCH("VRF", C60))),
_xlpm.Tons_Cool * (12/_xlpm.PLC_Base - 12/_xlpm.PLC_Eff)*_xlpm.EFLH_Cool,
IF(ISNUMBER(SEARCH("Water", C60)),
_xlpm.Tons_Cool * (_xlpm.PLC_Base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(1/_xlpm.Other_Base - 1/_xlpm.Other_Eff) * _xlpm.EFLH_Heat,
" "
)),4),
0
),
IFERROR(_xlpm.kWhCool + _xlpm.kWhHeat, "Measure Not Specified.")
), "")</f>
        <v/>
      </c>
      <c r="BG60" s="965" t="str">
        <f t="shared" ref="BG60" si="42">IF(C60&lt;&gt;"", _xlfn.LET(
_xlpm.Tons, V60, _xlpm.PCF, 0.913,
IF(AND(ISNUMBER(SEARCH("DX",C60)),ISNUMBER(SEARCH("&lt;65 kbtu",C60))),
_xlpm.Tons * (12/11.42-12/MAX(11.42,T60))*_xlpm.PCF,
IF(OR(ISNUMBER(SEARCH("DX", C60)), ISNUMBER(SEARCH("Air-Cooled Chiller", C60)), ISNUMBER(SEARCH("VRF", C60))),
_xlpm.Tons * (12/R60 - 12/T60) * _xlpm.PCF,
IF(ISNUMBER(SEARCH("Water", C60)),
_xlpm.Tons * (R60-T60) * _xlpm.PCF,
IF(ISNUMBER(SEARCH("ASHP", C60)),
_xlpm.Tons * (12/BO60 - 12/BP60) * _xlpm.PCF,
IF(OR(ISNUMBER(SEARCH("PTAC", C60)), ISNUMBER(SEARCH("PTHP", C60))),
_xlpm.Tons * (12/L60 - 12/N60) * _xlpm.PCF,
"Measure Not Specified.")))))), "")</f>
        <v/>
      </c>
      <c r="BH60" s="1004" t="str">
        <f>IFERROR(IF(AI60="per ton", ROUND(V60*AM60, 2),
IF(AND(ISNUMBER(SEARCH("Air-Cooled Chiller",C60)),AI60="$/ton/IPLV"), ROUND((12/L60-12/N60)*V60*AM60, 2),
ROUND(ABS(N60-L60)*V60*AM60, 2))), "")</f>
        <v/>
      </c>
      <c r="BI60" s="967" t="str">
        <f>IFERROR(IF(OR(C60="",N60="",V60="",AA60="",T60="",AE60="",AG60="",ISNUMBER(AR60)=FALSE,AR60=0),"",INDEX(STDHVAC_N[Measure Number],MATCH(C60,STDHVAC_N[Measure Name],0))),"Err")</f>
        <v/>
      </c>
      <c r="BJ60" s="996" t="str">
        <f>IFERROR(IF(BT60="",IF(AR60 &lt; BH60, "100% Total Cost", ""), ""), "")</f>
        <v/>
      </c>
      <c r="BK60" s="967" t="str">
        <f>IFERROR(
IF(OR(C60="",J60="",L60="",N60="",P60="",R60="",T60="",V60="",AE60="",AG60=""),
"",
IF(BT60&gt;0,"",IF(OR(AND(ISNUMBER(SEARCH("kW/ton", J60)),OR(L60&lt;N60,R60&lt;T60)),AND(NOT(ISNUMBER(SEARCH("kW/ton", J60))),OR(L60&gt;N60,R60&gt;T60))),
"Must Improve Efficiency",
IF(EXPIRATION&lt;&gt;"",PROJSTATEXP,"")))),
"")</f>
        <v/>
      </c>
      <c r="BL60" s="959" t="str">
        <f>IFERROR(INDEX(STDHVAC_N[Measure Life (Years)],MATCH(C60,STDHVAC_N[Measure Name],0)),"")</f>
        <v/>
      </c>
      <c r="BM60" s="787" t="str">
        <f>IFERROR(IF(OR(C60="",N60="",V60="",AA60="",T60="",AE60="",AG60=""),"",
ROUND(((1+ELOSS)*((BA60*INDEX(ELECCB[NPV AEC $/kWh],MATCH(BL60,ELECCB[Year Number],1)))+(BB60*INDEX(ELECCB[NPV ACC $/kW],MATCH(BL60,ELECCB[Year Number],1))))),2)),0)</f>
        <v/>
      </c>
      <c r="BN60" s="1006" t="str">
        <f>IFERROR(IF(INDEX(STDHVAC_N[Eff Unit 3],MATCH(C60,STDHVAC_N[Measure Name],0))="","",INDEX(STDHVAC_N[Eff Unit 3],MATCH(C60,STDHVAC_N[Measure Name],0))),"")</f>
        <v/>
      </c>
      <c r="BO60" s="1008" t="str">
        <f>IFERROR(IF(INDEX(STDHVAC_N[Base Efficiency 3],MATCH(C60,STDHVAC_N[Measure Name],0))="","",INDEX(STDHVAC_N[Base Efficiency 3],MATCH(C60,STDHVAC_N[Measure Name],0))),"")</f>
        <v/>
      </c>
      <c r="BP60" s="1010" t="str">
        <f>IFERROR(IF(ISNUMBER(SEARCH("Air-Cooled Chiller",$C60)),12/N60,""),"")</f>
        <v/>
      </c>
      <c r="BQ60" s="1012"/>
      <c r="BR60" s="1014" t="str">
        <f>IFERROR(IF(BI60="","",INDEX(STDHVAC_N[Reporting Methodology],MATCH(C60,STDHVAC_N[Measure Name],0))),"Err")</f>
        <v/>
      </c>
      <c r="BS60" s="787" t="str">
        <f>IFERROR(IF(OR(C60="",V60=""),"",INDEX(STDHVAC_N[Incremental Measure Cost ($/Unit)],MATCH(C60,STDHVAC_N[Measure Name],0))*V60),"Err")</f>
        <v/>
      </c>
      <c r="BT60" s="853"/>
    </row>
    <row r="61" spans="2:72" ht="15.95" customHeight="1">
      <c r="B61" s="800"/>
      <c r="C61" s="936"/>
      <c r="D61" s="937"/>
      <c r="E61" s="937"/>
      <c r="F61" s="937"/>
      <c r="G61" s="937"/>
      <c r="H61" s="937"/>
      <c r="I61" s="938"/>
      <c r="J61" s="941"/>
      <c r="K61" s="942"/>
      <c r="L61" s="944"/>
      <c r="M61" s="944"/>
      <c r="N61" s="947"/>
      <c r="O61" s="948"/>
      <c r="P61" s="941"/>
      <c r="Q61" s="942"/>
      <c r="R61" s="944"/>
      <c r="S61" s="944"/>
      <c r="T61" s="951"/>
      <c r="U61" s="952"/>
      <c r="V61" s="955"/>
      <c r="W61" s="956"/>
      <c r="X61" s="936"/>
      <c r="Y61" s="937"/>
      <c r="Z61" s="938"/>
      <c r="AA61" s="1016"/>
      <c r="AB61" s="937"/>
      <c r="AC61" s="937"/>
      <c r="AD61" s="938"/>
      <c r="AE61" s="979"/>
      <c r="AF61" s="980"/>
      <c r="AG61" s="980"/>
      <c r="AH61" s="982"/>
      <c r="AI61" s="985"/>
      <c r="AJ61" s="985"/>
      <c r="AK61" s="985"/>
      <c r="AL61" s="986"/>
      <c r="AM61" s="991"/>
      <c r="AN61" s="992"/>
      <c r="AO61" s="988"/>
      <c r="AP61" s="988"/>
      <c r="AQ61" s="988"/>
      <c r="AR61" s="970"/>
      <c r="AS61" s="970"/>
      <c r="AT61" s="970"/>
      <c r="AU61" s="970"/>
      <c r="AV61" s="21"/>
      <c r="AY61" s="972"/>
      <c r="AZ61" s="974"/>
      <c r="BA61" s="976"/>
      <c r="BB61" s="976"/>
      <c r="BC61" s="962"/>
      <c r="BD61" s="962"/>
      <c r="BE61" s="964"/>
      <c r="BF61" s="966"/>
      <c r="BG61" s="966"/>
      <c r="BH61" s="1005"/>
      <c r="BI61" s="968"/>
      <c r="BJ61" s="997"/>
      <c r="BK61" s="968"/>
      <c r="BL61" s="960"/>
      <c r="BM61" s="788"/>
      <c r="BN61" s="1007"/>
      <c r="BO61" s="1009"/>
      <c r="BP61" s="1011"/>
      <c r="BQ61" s="1013"/>
      <c r="BR61" s="849"/>
      <c r="BS61" s="788"/>
      <c r="BT61" s="854"/>
    </row>
    <row r="62" spans="2:72" ht="15.95" customHeight="1">
      <c r="B62" s="800">
        <v>23</v>
      </c>
      <c r="C62" s="993"/>
      <c r="D62" s="994"/>
      <c r="E62" s="994"/>
      <c r="F62" s="994"/>
      <c r="G62" s="994"/>
      <c r="H62" s="994"/>
      <c r="I62" s="995"/>
      <c r="J62" s="939" t="str">
        <f>IF(C62="","",INDEX(STDHVAC_N[Eff Unit 1],MATCH(C62,STDHVAC_N[Measure Name],0)))</f>
        <v/>
      </c>
      <c r="K62" s="940"/>
      <c r="L62" s="943" t="str">
        <f>IF(C62="","",INDEX(STDHVAC_N[Base Efficiency 1],MATCH(C62,STDHVAC_N[Measure Name],0)))</f>
        <v/>
      </c>
      <c r="M62" s="943"/>
      <c r="N62" s="945"/>
      <c r="O62" s="946"/>
      <c r="P62" s="939" t="str">
        <f>IF(C62="","",INDEX(STDHVAC_N[Eff Unit 2],MATCH(C62,STDHVAC_N[Measure Name],0)))</f>
        <v/>
      </c>
      <c r="Q62" s="940"/>
      <c r="R62" s="943" t="str">
        <f>IF(C62="","",INDEX(STDHVAC_N[Base Efficiency 2],MATCH(C62,STDHVAC_N[Measure Name],0)))</f>
        <v/>
      </c>
      <c r="S62" s="943"/>
      <c r="T62" s="949" t="str">
        <f t="shared" ref="T62" si="43">IF(AND(ISNUMBER(SEARCH("DX",C62)),ISNUMBER(SEARCH("&lt;65 kbtu",C62)),N62&lt;&gt;""),1.12*N62-0.02*N62^2,IF(ISNUMBER(SEARCH("PTAC",C62)),1,""))</f>
        <v/>
      </c>
      <c r="U62" s="950"/>
      <c r="V62" s="955"/>
      <c r="W62" s="956"/>
      <c r="X62" s="993"/>
      <c r="Y62" s="994"/>
      <c r="Z62" s="995"/>
      <c r="AA62" s="1015"/>
      <c r="AB62" s="889"/>
      <c r="AC62" s="889"/>
      <c r="AD62" s="935"/>
      <c r="AE62" s="977"/>
      <c r="AF62" s="978"/>
      <c r="AG62" s="978"/>
      <c r="AH62" s="981"/>
      <c r="AI62" s="985" t="str">
        <f>IF(C62="","",INDEX(STDHVAC_N[Current Unit],MATCH(C62,STDHVAC_N[Measure Name],0)))</f>
        <v/>
      </c>
      <c r="AJ62" s="985"/>
      <c r="AK62" s="985"/>
      <c r="AL62" s="986"/>
      <c r="AM62" s="998" t="str">
        <f>IFERROR(IF(C62="","",INDEX(IF(AND(ACTIVEBONUS_N = TRUE,INDEX(STDHVAC_N[Bonus Incentive],MATCH(C62,STDHVAC_N[Measure Name],0))&lt;&gt; ""),STDHVAC_N[Bonus Incentive],STDHVAC_N[Base Incentive]),MATCH(C62,STDHVAC_N[Measure Name],0))),"")</f>
        <v/>
      </c>
      <c r="AN62" s="999"/>
      <c r="AO62" s="987" t="str">
        <f>IFERROR(IF(OR(C62="",N62="",V62="",AA62="",T62="",AE62="",AG62=""),"",BF62),"")</f>
        <v/>
      </c>
      <c r="AP62" s="987"/>
      <c r="AQ62" s="987"/>
      <c r="AR62" s="969" t="str">
        <f>IFERROR(IF(OR(C62="",N62="",V62="",AA62="",T62="",AE62="",AG62=""),"",IF(BK62&lt;&gt;"",BK62,IF(BT62&gt;0,BT62,ROUND(IF(AO62&lt;=0,0,MIN(AY62,BH62)), 2)))), "")</f>
        <v/>
      </c>
      <c r="AS62" s="969"/>
      <c r="AT62" s="969"/>
      <c r="AU62" s="969"/>
      <c r="AV62" s="21"/>
      <c r="AY62" s="971" t="str">
        <f>IF(OR(C62="",N62="",V62="",AA62="",T62="",AE62="",AG62=""),"",IF(AO62=0,"",ROUND(AE62+AG62,2)))</f>
        <v/>
      </c>
      <c r="AZ62" s="973" t="str">
        <f>IFERROR(IF(OR(C62="",N62="",V62="",AA62="",T62="",AE62="",AG62=""),"",INDEX(STDHVAC_N[Current Unit],MATCH(C62,STDHVAC_N[Measure Name],0))),"Err")</f>
        <v/>
      </c>
      <c r="BA62" s="975" t="str">
        <f>IF(
OR(C62="",N62="",T62="",V62="",AA62="",AE62="",AG62=""),"",
IF(OR(ISNUMBER(SEARCH("PTAC",C62)),ISNUMBER(SEARCH("PTHP",C62))),
ROUND(V62*INDEX(STDHVAC_N[Electric Energy Savings (Annual kWh/unit)],MATCH(C62,#REF!,0)),4),
ROUND(V62*ABS(N62-L62)*INDEX(STDHVAC_N[Electric Energy Savings (Annual kWh/unit)],MATCH(C62,STDHVAC_N[Measure Name],0)),4)
))</f>
        <v/>
      </c>
      <c r="BB62" s="975" t="str">
        <f>IF(
OR(C62="",N62="",T62="",V62="",AA62="",AE62="",AG62=""),"",
IF(OR(ISNUMBER(SEARCH("PTAC",C62)),ISNUMBER(SEARCH("PTHP",C62))),
ROUND(V62*INDEX(STDHVAC_N[Coincident Peak Demand Savings (kW/unit)],MATCH(C62,STDHVAC_N[Measure Name],0)),4),
ROUND(V62*ABS(N62-L62)*INDEX(STDHVAC_N[Coincident Peak Demand Savings (kW/unit)],MATCH(C62,STDHVAC_N[Measure Name],0)),4)
))</f>
        <v/>
      </c>
      <c r="BC62" s="962"/>
      <c r="BD62" s="962"/>
      <c r="BE62" s="963" t="str">
        <f>IFERROR(IF(OR(C62="",N62="",V62="",AA62="",T62="",AE62="",AG62=""),"",INDEX(STDHVAC_N[End Use],MATCH(C62,STDHVAC_N[Measure Name],0))),"Err")</f>
        <v/>
      </c>
      <c r="BF62" s="965" t="str">
        <f>IF(C62&lt;&gt;"", _xlfn.LET(
_xlpm.Tons_Cool, V62, _xlpm.PLC_Base, L62, _xlpm.PLC_Eff, N62, _xlpm.Tons_Heat, BQ62, _xlpm.Other_Base, R62, _xlpm.Other_Eff, T62,
_xlpm.EFLH_Cool,
INDEX(STDHVAC_N[EFLHcool],MATCH(C62,STDHVAC_N[Measure Name],0)),
_xlpm.EFLH_Heat,
INDEX(STDHVAC_N[EFLHheat],MATCH(C62,STDHVAC_N[Measure Name],0)),
_xlpm.ElecHeat,
INDEX(SPACEHEAT[ELECHEAT],MATCH(N02S03F29,SPACEHEAT[Space Conditioning],0)),
_xlpm.kWhCool,
ROUND(
IF(OR(ISNUMBER(SEARCH("DX", C62)),ISNUMBER(SEARCH("ASHP", C62)), ISNUMBER(SEARCH("PTAC", C62)), ISNUMBER(SEARCH("PTHP", C62)), ISNUMBER(SEARCH("Air-Cooled Chiller", C62)), ISNUMBER(SEARCH("VRF", C62))),
_xlpm.Tons_Cool * (12/_xlpm.PLC_Base - 12/_xlpm.PLC_Eff)*_xlpm.EFLH_Cool,
IF(ISNUMBER(SEARCH("Water", C62)),
_xlpm.Tons_Cool * (_xlpm.PLC_Base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(1/_xlpm.Other_Base - 1/_xlpm.Other_Eff) * _xlpm.EFLH_Heat,
" "
)),4),
0
),
IFERROR(_xlpm.kWhCool + _xlpm.kWhHeat, "Measure Not Specified.")
), "")</f>
        <v/>
      </c>
      <c r="BG62" s="965" t="str">
        <f t="shared" ref="BG62" si="44">IF(C62&lt;&gt;"", _xlfn.LET(
_xlpm.Tons, V62, _xlpm.PCF, 0.913,
IF(AND(ISNUMBER(SEARCH("DX",C62)),ISNUMBER(SEARCH("&lt;65 kbtu",C62))),
_xlpm.Tons * (12/11.42-12/MAX(11.42,T62))*_xlpm.PCF,
IF(OR(ISNUMBER(SEARCH("DX", C62)), ISNUMBER(SEARCH("Air-Cooled Chiller", C62)), ISNUMBER(SEARCH("VRF", C62))),
_xlpm.Tons * (12/R62 - 12/T62) * _xlpm.PCF,
IF(ISNUMBER(SEARCH("Water", C62)),
_xlpm.Tons * (R62-T62) * _xlpm.PCF,
IF(ISNUMBER(SEARCH("ASHP", C62)),
_xlpm.Tons * (12/BO62 - 12/BP62) * _xlpm.PCF,
IF(OR(ISNUMBER(SEARCH("PTAC", C62)), ISNUMBER(SEARCH("PTHP", C62))),
_xlpm.Tons * (12/L62 - 12/N62) * _xlpm.PCF,
"Measure Not Specified.")))))), "")</f>
        <v/>
      </c>
      <c r="BH62" s="1004" t="str">
        <f>IFERROR(IF(AI62="per ton", ROUND(V62*AM62, 2),
IF(AND(ISNUMBER(SEARCH("Air-Cooled Chiller",C62)),AI62="$/ton/IPLV"), ROUND((12/L62-12/N62)*V62*AM62, 2),
ROUND(ABS(N62-L62)*V62*AM62, 2))), "")</f>
        <v/>
      </c>
      <c r="BI62" s="967" t="str">
        <f>IFERROR(IF(OR(C62="",N62="",V62="",AA62="",T62="",AE62="",AG62="",ISNUMBER(AR62)=FALSE,AR62=0),"",INDEX(STDHVAC_N[Measure Number],MATCH(C62,STDHVAC_N[Measure Name],0))),"Err")</f>
        <v/>
      </c>
      <c r="BJ62" s="996" t="str">
        <f>IFERROR(IF(BT62="",IF(AR62 &lt; BH62, "100% Total Cost", ""), ""), "")</f>
        <v/>
      </c>
      <c r="BK62" s="967" t="str">
        <f>IFERROR(
IF(OR(C62="",J62="",L62="",N62="",P62="",R62="",T62="",V62="",AE62="",AG62=""),
"",
IF(BT62&gt;0,"",IF(OR(AND(ISNUMBER(SEARCH("kW/ton", J62)),OR(L62&lt;N62,R62&lt;T62)),AND(NOT(ISNUMBER(SEARCH("kW/ton", J62))),OR(L62&gt;N62,R62&gt;T62))),
"Must Improve Efficiency",
IF(EXPIRATION&lt;&gt;"",PROJSTATEXP,"")))),
"")</f>
        <v/>
      </c>
      <c r="BL62" s="959" t="str">
        <f>IFERROR(INDEX(STDHVAC_N[Measure Life (Years)],MATCH(C62,STDHVAC_N[Measure Name],0)),"")</f>
        <v/>
      </c>
      <c r="BM62" s="787" t="str">
        <f>IFERROR(IF(OR(C62="",N62="",V62="",AA62="",T62="",AE62="",AG62=""),"",
ROUND(((1+ELOSS)*((BA62*INDEX(ELECCB[NPV AEC $/kWh],MATCH(BL62,ELECCB[Year Number],1)))+(BB62*INDEX(ELECCB[NPV ACC $/kW],MATCH(BL62,ELECCB[Year Number],1))))),2)),0)</f>
        <v/>
      </c>
      <c r="BN62" s="1006" t="str">
        <f>IFERROR(IF(INDEX(STDHVAC_N[Eff Unit 3],MATCH(C62,STDHVAC_N[Measure Name],0))="","",INDEX(STDHVAC_N[Eff Unit 3],MATCH(C62,STDHVAC_N[Measure Name],0))),"")</f>
        <v/>
      </c>
      <c r="BO62" s="1008" t="str">
        <f>IFERROR(IF(INDEX(STDHVAC_N[Base Efficiency 3],MATCH(C62,STDHVAC_N[Measure Name],0))="","",INDEX(STDHVAC_N[Base Efficiency 3],MATCH(C62,STDHVAC_N[Measure Name],0))),"")</f>
        <v/>
      </c>
      <c r="BP62" s="1010" t="str">
        <f>IFERROR(IF(ISNUMBER(SEARCH("Air-Cooled Chiller",$C62)),12/N62,""),"")</f>
        <v/>
      </c>
      <c r="BQ62" s="1012"/>
      <c r="BR62" s="1014" t="str">
        <f>IFERROR(IF(BI62="","",INDEX(STDHVAC_N[Reporting Methodology],MATCH(C62,STDHVAC_N[Measure Name],0))),"Err")</f>
        <v/>
      </c>
      <c r="BS62" s="787" t="str">
        <f>IFERROR(IF(OR(C62="",V62=""),"",INDEX(STDHVAC_N[Incremental Measure Cost ($/Unit)],MATCH(C62,STDHVAC_N[Measure Name],0))*V62),"Err")</f>
        <v/>
      </c>
      <c r="BT62" s="853"/>
    </row>
    <row r="63" spans="2:72" ht="15.95" customHeight="1">
      <c r="B63" s="800"/>
      <c r="C63" s="936"/>
      <c r="D63" s="937"/>
      <c r="E63" s="937"/>
      <c r="F63" s="937"/>
      <c r="G63" s="937"/>
      <c r="H63" s="937"/>
      <c r="I63" s="938"/>
      <c r="J63" s="941"/>
      <c r="K63" s="942"/>
      <c r="L63" s="944"/>
      <c r="M63" s="944"/>
      <c r="N63" s="947"/>
      <c r="O63" s="948"/>
      <c r="P63" s="941"/>
      <c r="Q63" s="942"/>
      <c r="R63" s="944"/>
      <c r="S63" s="944"/>
      <c r="T63" s="951"/>
      <c r="U63" s="952"/>
      <c r="V63" s="955"/>
      <c r="W63" s="956"/>
      <c r="X63" s="936"/>
      <c r="Y63" s="937"/>
      <c r="Z63" s="938"/>
      <c r="AA63" s="1016"/>
      <c r="AB63" s="937"/>
      <c r="AC63" s="937"/>
      <c r="AD63" s="938"/>
      <c r="AE63" s="979"/>
      <c r="AF63" s="980"/>
      <c r="AG63" s="980"/>
      <c r="AH63" s="982"/>
      <c r="AI63" s="985"/>
      <c r="AJ63" s="985"/>
      <c r="AK63" s="985"/>
      <c r="AL63" s="986"/>
      <c r="AM63" s="991"/>
      <c r="AN63" s="992"/>
      <c r="AO63" s="988"/>
      <c r="AP63" s="988"/>
      <c r="AQ63" s="988"/>
      <c r="AR63" s="970"/>
      <c r="AS63" s="970"/>
      <c r="AT63" s="970"/>
      <c r="AU63" s="970"/>
      <c r="AV63" s="21"/>
      <c r="AY63" s="972"/>
      <c r="AZ63" s="974"/>
      <c r="BA63" s="976"/>
      <c r="BB63" s="976"/>
      <c r="BC63" s="962"/>
      <c r="BD63" s="962"/>
      <c r="BE63" s="964"/>
      <c r="BF63" s="966"/>
      <c r="BG63" s="966"/>
      <c r="BH63" s="1005"/>
      <c r="BI63" s="968"/>
      <c r="BJ63" s="997"/>
      <c r="BK63" s="968"/>
      <c r="BL63" s="960"/>
      <c r="BM63" s="788"/>
      <c r="BN63" s="1007"/>
      <c r="BO63" s="1009"/>
      <c r="BP63" s="1011"/>
      <c r="BQ63" s="1013"/>
      <c r="BR63" s="849"/>
      <c r="BS63" s="788"/>
      <c r="BT63" s="854"/>
    </row>
    <row r="64" spans="2:72" ht="15.95" customHeight="1">
      <c r="B64" s="800">
        <v>24</v>
      </c>
      <c r="C64" s="993"/>
      <c r="D64" s="994"/>
      <c r="E64" s="994"/>
      <c r="F64" s="994"/>
      <c r="G64" s="994"/>
      <c r="H64" s="994"/>
      <c r="I64" s="995"/>
      <c r="J64" s="939" t="str">
        <f>IF(C64="","",INDEX(STDHVAC_N[Eff Unit 1],MATCH(C64,STDHVAC_N[Measure Name],0)))</f>
        <v/>
      </c>
      <c r="K64" s="940"/>
      <c r="L64" s="943" t="str">
        <f>IF(C64="","",INDEX(STDHVAC_N[Base Efficiency 1],MATCH(C64,STDHVAC_N[Measure Name],0)))</f>
        <v/>
      </c>
      <c r="M64" s="943"/>
      <c r="N64" s="945"/>
      <c r="O64" s="946"/>
      <c r="P64" s="939" t="str">
        <f>IF(C64="","",INDEX(STDHVAC_N[Eff Unit 2],MATCH(C64,STDHVAC_N[Measure Name],0)))</f>
        <v/>
      </c>
      <c r="Q64" s="940"/>
      <c r="R64" s="943" t="str">
        <f>IF(C64="","",INDEX(STDHVAC_N[Base Efficiency 2],MATCH(C64,STDHVAC_N[Measure Name],0)))</f>
        <v/>
      </c>
      <c r="S64" s="943"/>
      <c r="T64" s="949" t="str">
        <f t="shared" ref="T64" si="45">IF(AND(ISNUMBER(SEARCH("DX",C64)),ISNUMBER(SEARCH("&lt;65 kbtu",C64)),N64&lt;&gt;""),1.12*N64-0.02*N64^2,IF(ISNUMBER(SEARCH("PTAC",C64)),1,""))</f>
        <v/>
      </c>
      <c r="U64" s="950"/>
      <c r="V64" s="955"/>
      <c r="W64" s="956"/>
      <c r="X64" s="993"/>
      <c r="Y64" s="994"/>
      <c r="Z64" s="995"/>
      <c r="AA64" s="1015"/>
      <c r="AB64" s="889"/>
      <c r="AC64" s="889"/>
      <c r="AD64" s="935"/>
      <c r="AE64" s="979"/>
      <c r="AF64" s="980"/>
      <c r="AG64" s="980"/>
      <c r="AH64" s="982"/>
      <c r="AI64" s="985" t="str">
        <f>IF(C64="","",INDEX(STDHVAC_N[Current Unit],MATCH(C64,STDHVAC_N[Measure Name],0)))</f>
        <v/>
      </c>
      <c r="AJ64" s="985"/>
      <c r="AK64" s="985"/>
      <c r="AL64" s="986"/>
      <c r="AM64" s="998" t="str">
        <f>IFERROR(IF(C64="","",INDEX(IF(AND(ACTIVEBONUS_N = TRUE,INDEX(STDHVAC_N[Bonus Incentive],MATCH(C64,STDHVAC_N[Measure Name],0))&lt;&gt; ""),STDHVAC_N[Bonus Incentive],STDHVAC_N[Base Incentive]),MATCH(C64,STDHVAC_N[Measure Name],0))),"")</f>
        <v/>
      </c>
      <c r="AN64" s="999"/>
      <c r="AO64" s="987" t="str">
        <f>IFERROR(IF(OR(C64="",N64="",V64="",AA64="",T64="",AE64="",AG64=""),"",BF64),"")</f>
        <v/>
      </c>
      <c r="AP64" s="987"/>
      <c r="AQ64" s="987"/>
      <c r="AR64" s="969" t="str">
        <f>IFERROR(IF(OR(C64="",N64="",V64="",AA64="",T64="",AE64="",AG64=""),"",IF(BK64&lt;&gt;"",BK64,IF(BT64&gt;0,BT64,ROUND(IF(AO64&lt;=0,0,MIN(AY64,BH64)), 2)))), "")</f>
        <v/>
      </c>
      <c r="AS64" s="969"/>
      <c r="AT64" s="969"/>
      <c r="AU64" s="969"/>
      <c r="AV64" s="21"/>
      <c r="AY64" s="971" t="str">
        <f>IF(OR(C64="",N64="",V64="",AA64="",T64="",AE64="",AG64=""),"",IF(AO64=0,"",ROUND(AE64+AG64,2)))</f>
        <v/>
      </c>
      <c r="AZ64" s="973" t="str">
        <f>IFERROR(IF(OR(C64="",N64="",V64="",AA64="",T64="",AE64="",AG64=""),"",INDEX(STDHVAC_N[Current Unit],MATCH(C64,STDHVAC_N[Measure Name],0))),"Err")</f>
        <v/>
      </c>
      <c r="BA64" s="975" t="str">
        <f>IF(
OR(C64="",N64="",T64="",V64="",AA64="",AE64="",AG64=""),"",
IF(OR(ISNUMBER(SEARCH("PTAC",C64)),ISNUMBER(SEARCH("PTHP",C64))),
ROUND(V64*INDEX(STDHVAC_N[Electric Energy Savings (Annual kWh/unit)],MATCH(C64,#REF!,0)),4),
ROUND(V64*ABS(N64-L64)*INDEX(STDHVAC_N[Electric Energy Savings (Annual kWh/unit)],MATCH(C64,STDHVAC_N[Measure Name],0)),4)
))</f>
        <v/>
      </c>
      <c r="BB64" s="975" t="str">
        <f>IF(
OR(C64="",N64="",T64="",V64="",AA64="",AE64="",AG64=""),"",
IF(OR(ISNUMBER(SEARCH("PTAC",C64)),ISNUMBER(SEARCH("PTHP",C64))),
ROUND(V64*INDEX(STDHVAC_N[Coincident Peak Demand Savings (kW/unit)],MATCH(C64,STDHVAC_N[Measure Name],0)),4),
ROUND(V64*ABS(N64-L64)*INDEX(STDHVAC_N[Coincident Peak Demand Savings (kW/unit)],MATCH(C64,STDHVAC_N[Measure Name],0)),4)
))</f>
        <v/>
      </c>
      <c r="BC64" s="962"/>
      <c r="BD64" s="962"/>
      <c r="BE64" s="963" t="str">
        <f>IFERROR(IF(OR(C64="",N64="",V64="",AA64="",T64="",AE64="",AG64=""),"",INDEX(STDHVAC_N[End Use],MATCH(C64,STDHVAC_N[Measure Name],0))),"Err")</f>
        <v/>
      </c>
      <c r="BF64" s="965" t="str">
        <f>IF(C64&lt;&gt;"", _xlfn.LET(
_xlpm.Tons_Cool, V64, _xlpm.PLC_Base, L64, _xlpm.PLC_Eff, N64, _xlpm.Tons_Heat, BQ64, _xlpm.Other_Base, R64, _xlpm.Other_Eff, T64,
_xlpm.EFLH_Cool,
INDEX(STDHVAC_N[EFLHcool],MATCH(C64,STDHVAC_N[Measure Name],0)),
_xlpm.EFLH_Heat,
INDEX(STDHVAC_N[EFLHheat],MATCH(C64,STDHVAC_N[Measure Name],0)),
_xlpm.ElecHeat,
INDEX(SPACEHEAT[ELECHEAT],MATCH(N02S03F29,SPACEHEAT[Space Conditioning],0)),
_xlpm.kWhCool,
ROUND(
IF(OR(ISNUMBER(SEARCH("DX", C64)),ISNUMBER(SEARCH("ASHP", C64)), ISNUMBER(SEARCH("PTAC", C64)), ISNUMBER(SEARCH("PTHP", C64)), ISNUMBER(SEARCH("Air-Cooled Chiller", C64)), ISNUMBER(SEARCH("VRF", C64))),
_xlpm.Tons_Cool * (12/_xlpm.PLC_Base - 12/_xlpm.PLC_Eff)*_xlpm.EFLH_Cool,
IF(ISNUMBER(SEARCH("Water", C64)),
_xlpm.Tons_Cool * (_xlpm.PLC_Base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(1/_xlpm.Other_Base - 1/_xlpm.Other_Eff) * _xlpm.EFLH_Heat,
" "
)),4),
0
),
IFERROR(_xlpm.kWhCool + _xlpm.kWhHeat, "Measure Not Specified.")
), "")</f>
        <v/>
      </c>
      <c r="BG64" s="965" t="str">
        <f t="shared" ref="BG64" si="46">IF(C64&lt;&gt;"", _xlfn.LET(
_xlpm.Tons, V64, _xlpm.PCF, 0.913,
IF(AND(ISNUMBER(SEARCH("DX",C64)),ISNUMBER(SEARCH("&lt;65 kbtu",C64))),
_xlpm.Tons * (12/11.42-12/MAX(11.42,T64))*_xlpm.PCF,
IF(OR(ISNUMBER(SEARCH("DX", C64)), ISNUMBER(SEARCH("Air-Cooled Chiller", C64)), ISNUMBER(SEARCH("VRF", C64))),
_xlpm.Tons * (12/R64 - 12/T64) * _xlpm.PCF,
IF(ISNUMBER(SEARCH("Water", C64)),
_xlpm.Tons * (R64-T64) * _xlpm.PCF,
IF(ISNUMBER(SEARCH("ASHP", C64)),
_xlpm.Tons * (12/BO64 - 12/BP64) * _xlpm.PCF,
IF(OR(ISNUMBER(SEARCH("PTAC", C64)), ISNUMBER(SEARCH("PTHP", C64))),
_xlpm.Tons * (12/L64 - 12/N64) * _xlpm.PCF,
"Measure Not Specified.")))))), "")</f>
        <v/>
      </c>
      <c r="BH64" s="1004" t="str">
        <f>IFERROR(IF(AI64="per ton", ROUND(V64*AM64, 2),
IF(AND(ISNUMBER(SEARCH("Air-Cooled Chiller",C64)),AI64="$/ton/IPLV"), ROUND((12/L64-12/N64)*V64*AM64, 2),
ROUND(ABS(N64-L64)*V64*AM64, 2))), "")</f>
        <v/>
      </c>
      <c r="BI64" s="967" t="str">
        <f>IFERROR(IF(OR(C64="",N64="",V64="",AA64="",T64="",AE64="",AG64="",ISNUMBER(AR64)=FALSE,AR64=0),"",INDEX(STDHVAC_N[Measure Number],MATCH(C64,STDHVAC_N[Measure Name],0))),"Err")</f>
        <v/>
      </c>
      <c r="BJ64" s="996" t="str">
        <f>IFERROR(IF(BT64="",IF(AR64 &lt; BH64, "100% Total Cost", ""), ""), "")</f>
        <v/>
      </c>
      <c r="BK64" s="967" t="str">
        <f>IFERROR(
IF(OR(C64="",J64="",L64="",N64="",P64="",R64="",T64="",V64="",AE64="",AG64=""),
"",
IF(BT64&gt;0,"",IF(OR(AND(ISNUMBER(SEARCH("kW/ton", J64)),OR(L64&lt;N64,R64&lt;T64)),AND(NOT(ISNUMBER(SEARCH("kW/ton", J64))),OR(L64&gt;N64,R64&gt;T64))),
"Must Improve Efficiency",
IF(EXPIRATION&lt;&gt;"",PROJSTATEXP,"")))),
"")</f>
        <v/>
      </c>
      <c r="BL64" s="959" t="str">
        <f>IFERROR(INDEX(STDHVAC_N[Measure Life (Years)],MATCH(C64,STDHVAC_N[Measure Name],0)),"")</f>
        <v/>
      </c>
      <c r="BM64" s="787" t="str">
        <f>IFERROR(IF(OR(C64="",N64="",V64="",AA64="",T64="",AE64="",AG64=""),"",
ROUND(((1+ELOSS)*((BA64*INDEX(ELECCB[NPV AEC $/kWh],MATCH(BL64,ELECCB[Year Number],1)))+(BB64*INDEX(ELECCB[NPV ACC $/kW],MATCH(BL64,ELECCB[Year Number],1))))),2)),0)</f>
        <v/>
      </c>
      <c r="BN64" s="1006" t="str">
        <f>IFERROR(IF(INDEX(STDHVAC_N[Eff Unit 3],MATCH(C64,STDHVAC_N[Measure Name],0))="","",INDEX(STDHVAC_N[Eff Unit 3],MATCH(C64,STDHVAC_N[Measure Name],0))),"")</f>
        <v/>
      </c>
      <c r="BO64" s="1008" t="str">
        <f>IFERROR(IF(INDEX(STDHVAC_N[Base Efficiency 3],MATCH(C64,STDHVAC_N[Measure Name],0))="","",INDEX(STDHVAC_N[Base Efficiency 3],MATCH(C64,STDHVAC_N[Measure Name],0))),"")</f>
        <v/>
      </c>
      <c r="BP64" s="1010" t="str">
        <f>IFERROR(IF(ISNUMBER(SEARCH("Air-Cooled Chiller",$C64)),12/N64,""),"")</f>
        <v/>
      </c>
      <c r="BQ64" s="1012"/>
      <c r="BR64" s="1014" t="str">
        <f>IFERROR(IF(BI64="","",INDEX(STDHVAC_N[Reporting Methodology],MATCH(C64,STDHVAC_N[Measure Name],0))),"Err")</f>
        <v/>
      </c>
      <c r="BS64" s="787" t="str">
        <f>IFERROR(IF(OR(C64="",V64=""),"",INDEX(STDHVAC_N[Incremental Measure Cost ($/Unit)],MATCH(C64,STDHVAC_N[Measure Name],0))*V64),"Err")</f>
        <v/>
      </c>
      <c r="BT64" s="853"/>
    </row>
    <row r="65" spans="2:72" ht="15.95" customHeight="1">
      <c r="B65" s="800"/>
      <c r="C65" s="936"/>
      <c r="D65" s="937"/>
      <c r="E65" s="937"/>
      <c r="F65" s="937"/>
      <c r="G65" s="937"/>
      <c r="H65" s="937"/>
      <c r="I65" s="938"/>
      <c r="J65" s="941"/>
      <c r="K65" s="942"/>
      <c r="L65" s="944"/>
      <c r="M65" s="944"/>
      <c r="N65" s="947"/>
      <c r="O65" s="948"/>
      <c r="P65" s="941"/>
      <c r="Q65" s="942"/>
      <c r="R65" s="944"/>
      <c r="S65" s="944"/>
      <c r="T65" s="951"/>
      <c r="U65" s="952"/>
      <c r="V65" s="955"/>
      <c r="W65" s="956"/>
      <c r="X65" s="936"/>
      <c r="Y65" s="937"/>
      <c r="Z65" s="938"/>
      <c r="AA65" s="1016"/>
      <c r="AB65" s="937"/>
      <c r="AC65" s="937"/>
      <c r="AD65" s="938"/>
      <c r="AE65" s="979"/>
      <c r="AF65" s="980"/>
      <c r="AG65" s="980"/>
      <c r="AH65" s="982"/>
      <c r="AI65" s="985"/>
      <c r="AJ65" s="985"/>
      <c r="AK65" s="985"/>
      <c r="AL65" s="986"/>
      <c r="AM65" s="991"/>
      <c r="AN65" s="992"/>
      <c r="AO65" s="988"/>
      <c r="AP65" s="988"/>
      <c r="AQ65" s="988"/>
      <c r="AR65" s="970"/>
      <c r="AS65" s="970"/>
      <c r="AT65" s="970"/>
      <c r="AU65" s="970"/>
      <c r="AV65" s="21"/>
      <c r="AY65" s="972"/>
      <c r="AZ65" s="974"/>
      <c r="BA65" s="976"/>
      <c r="BB65" s="976"/>
      <c r="BC65" s="962"/>
      <c r="BD65" s="962"/>
      <c r="BE65" s="964"/>
      <c r="BF65" s="966"/>
      <c r="BG65" s="966"/>
      <c r="BH65" s="1005"/>
      <c r="BI65" s="968"/>
      <c r="BJ65" s="997"/>
      <c r="BK65" s="968"/>
      <c r="BL65" s="960"/>
      <c r="BM65" s="788"/>
      <c r="BN65" s="1007"/>
      <c r="BO65" s="1009"/>
      <c r="BP65" s="1011"/>
      <c r="BQ65" s="1013"/>
      <c r="BR65" s="849"/>
      <c r="BS65" s="788"/>
      <c r="BT65" s="854"/>
    </row>
    <row r="66" spans="2:72" ht="15.95" customHeight="1">
      <c r="B66" s="800">
        <v>25</v>
      </c>
      <c r="C66" s="993"/>
      <c r="D66" s="994"/>
      <c r="E66" s="994"/>
      <c r="F66" s="994"/>
      <c r="G66" s="994"/>
      <c r="H66" s="994"/>
      <c r="I66" s="995"/>
      <c r="J66" s="939" t="str">
        <f>IF(C66="","",INDEX(STDHVAC_N[Eff Unit 1],MATCH(C66,STDHVAC_N[Measure Name],0)))</f>
        <v/>
      </c>
      <c r="K66" s="940"/>
      <c r="L66" s="943" t="str">
        <f>IF(C66="","",INDEX(STDHVAC_N[Base Efficiency 1],MATCH(C66,STDHVAC_N[Measure Name],0)))</f>
        <v/>
      </c>
      <c r="M66" s="943"/>
      <c r="N66" s="945"/>
      <c r="O66" s="946"/>
      <c r="P66" s="939" t="str">
        <f>IF(C66="","",INDEX(STDHVAC_N[Eff Unit 2],MATCH(C66,STDHVAC_N[Measure Name],0)))</f>
        <v/>
      </c>
      <c r="Q66" s="940"/>
      <c r="R66" s="943" t="str">
        <f>IF(C66="","",INDEX(STDHVAC_N[Base Efficiency 2],MATCH(C66,STDHVAC_N[Measure Name],0)))</f>
        <v/>
      </c>
      <c r="S66" s="943"/>
      <c r="T66" s="949" t="str">
        <f t="shared" ref="T66" si="47">IF(AND(ISNUMBER(SEARCH("DX",C66)),ISNUMBER(SEARCH("&lt;65 kbtu",C66)),N66&lt;&gt;""),1.12*N66-0.02*N66^2,IF(ISNUMBER(SEARCH("PTAC",C66)),1,""))</f>
        <v/>
      </c>
      <c r="U66" s="950"/>
      <c r="V66" s="955"/>
      <c r="W66" s="956"/>
      <c r="X66" s="993"/>
      <c r="Y66" s="994"/>
      <c r="Z66" s="995"/>
      <c r="AA66" s="1015"/>
      <c r="AB66" s="889"/>
      <c r="AC66" s="889"/>
      <c r="AD66" s="935"/>
      <c r="AE66" s="979"/>
      <c r="AF66" s="980"/>
      <c r="AG66" s="980"/>
      <c r="AH66" s="982"/>
      <c r="AI66" s="985" t="str">
        <f>IF(C66="","",INDEX(STDHVAC_N[Current Unit],MATCH(C66,STDHVAC_N[Measure Name],0)))</f>
        <v/>
      </c>
      <c r="AJ66" s="985"/>
      <c r="AK66" s="985"/>
      <c r="AL66" s="986"/>
      <c r="AM66" s="998" t="str">
        <f>IFERROR(IF(C66="","",INDEX(IF(AND(ACTIVEBONUS_N = TRUE,INDEX(STDHVAC_N[Bonus Incentive],MATCH(C66,STDHVAC_N[Measure Name],0))&lt;&gt; ""),STDHVAC_N[Bonus Incentive],STDHVAC_N[Base Incentive]),MATCH(C66,STDHVAC_N[Measure Name],0))),"")</f>
        <v/>
      </c>
      <c r="AN66" s="999"/>
      <c r="AO66" s="987" t="str">
        <f>IFERROR(IF(OR(C66="",N66="",V66="",AA66="",T66="",AE66="",AG66=""),"",BF66),"")</f>
        <v/>
      </c>
      <c r="AP66" s="987"/>
      <c r="AQ66" s="987"/>
      <c r="AR66" s="969" t="str">
        <f>IFERROR(IF(OR(C66="",N66="",V66="",AA66="",T66="",AE66="",AG66=""),"",IF(BK66&lt;&gt;"",BK66,IF(BT66&gt;0,BT66,ROUND(IF(AO66&lt;=0,0,MIN(AY66,BH66)), 2)))), "")</f>
        <v/>
      </c>
      <c r="AS66" s="969"/>
      <c r="AT66" s="969"/>
      <c r="AU66" s="969"/>
      <c r="AV66" s="21"/>
      <c r="AY66" s="971" t="str">
        <f>IF(OR(C66="",N66="",V66="",AA66="",T66="",AE66="",AG66=""),"",IF(AO66=0,"",ROUND(AE66+AG66,2)))</f>
        <v/>
      </c>
      <c r="AZ66" s="973" t="str">
        <f>IFERROR(IF(OR(C66="",N66="",V66="",AA66="",T66="",AE66="",AG66=""),"",INDEX(STDHVAC_N[Current Unit],MATCH(C66,STDHVAC_N[Measure Name],0))),"Err")</f>
        <v/>
      </c>
      <c r="BA66" s="975" t="str">
        <f>IF(
OR(C66="",N66="",T66="",V66="",AA66="",AE66="",AG66=""),"",
IF(OR(ISNUMBER(SEARCH("PTAC",C66)),ISNUMBER(SEARCH("PTHP",C66))),
ROUND(V66*INDEX(STDHVAC_N[Electric Energy Savings (Annual kWh/unit)],MATCH(C66,#REF!,0)),4),
ROUND(V66*ABS(N66-L66)*INDEX(STDHVAC_N[Electric Energy Savings (Annual kWh/unit)],MATCH(C66,STDHVAC_N[Measure Name],0)),4)
))</f>
        <v/>
      </c>
      <c r="BB66" s="975" t="str">
        <f>IF(
OR(C66="",N66="",T66="",V66="",AA66="",AE66="",AG66=""),"",
IF(OR(ISNUMBER(SEARCH("PTAC",C66)),ISNUMBER(SEARCH("PTHP",C66))),
ROUND(V66*INDEX(STDHVAC_N[Coincident Peak Demand Savings (kW/unit)],MATCH(C66,STDHVAC_N[Measure Name],0)),4),
ROUND(V66*ABS(N66-L66)*INDEX(STDHVAC_N[Coincident Peak Demand Savings (kW/unit)],MATCH(C66,STDHVAC_N[Measure Name],0)),4)
))</f>
        <v/>
      </c>
      <c r="BC66" s="962"/>
      <c r="BD66" s="962"/>
      <c r="BE66" s="963" t="str">
        <f>IFERROR(IF(OR(C66="",N66="",V66="",AA66="",T66="",AE66="",AG66=""),"",INDEX(STDHVAC_N[End Use],MATCH(C66,STDHVAC_N[Measure Name],0))),"Err")</f>
        <v/>
      </c>
      <c r="BF66" s="965" t="str">
        <f>IF(C66&lt;&gt;"", _xlfn.LET(
_xlpm.Tons_Cool, V66, _xlpm.PLC_Base, L66, _xlpm.PLC_Eff, N66, _xlpm.Tons_Heat, BQ66, _xlpm.Other_Base, R66, _xlpm.Other_Eff, T66,
_xlpm.EFLH_Cool,
INDEX(STDHVAC_N[EFLHcool],MATCH(C66,STDHVAC_N[Measure Name],0)),
_xlpm.EFLH_Heat,
INDEX(STDHVAC_N[EFLHheat],MATCH(C66,STDHVAC_N[Measure Name],0)),
_xlpm.ElecHeat,
INDEX(SPACEHEAT[ELECHEAT],MATCH(N02S03F29,SPACEHEAT[Space Conditioning],0)),
_xlpm.kWhCool,
ROUND(
IF(OR(ISNUMBER(SEARCH("DX", C66)),ISNUMBER(SEARCH("ASHP", C66)), ISNUMBER(SEARCH("PTAC", C66)), ISNUMBER(SEARCH("PTHP", C66)), ISNUMBER(SEARCH("Air-Cooled Chiller", C66)), ISNUMBER(SEARCH("VRF", C66))),
_xlpm.Tons_Cool * (12/_xlpm.PLC_Base - 12/_xlpm.PLC_Eff)*_xlpm.EFLH_Cool,
IF(ISNUMBER(SEARCH("Water", C66)),
_xlpm.Tons_Cool * (_xlpm.PLC_Base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(1/_xlpm.Other_Base - 1/_xlpm.Other_Eff) * _xlpm.EFLH_Heat,
" "
)),4),
0
),
IFERROR(_xlpm.kWhCool + _xlpm.kWhHeat, "Measure Not Specified.")
), "")</f>
        <v/>
      </c>
      <c r="BG66" s="965" t="str">
        <f t="shared" ref="BG66" si="48">IF(C66&lt;&gt;"", _xlfn.LET(
_xlpm.Tons, V66, _xlpm.PCF, 0.913,
IF(AND(ISNUMBER(SEARCH("DX",C66)),ISNUMBER(SEARCH("&lt;65 kbtu",C66))),
_xlpm.Tons * (12/11.42-12/MAX(11.42,T66))*_xlpm.PCF,
IF(OR(ISNUMBER(SEARCH("DX", C66)), ISNUMBER(SEARCH("Air-Cooled Chiller", C66)), ISNUMBER(SEARCH("VRF", C66))),
_xlpm.Tons * (12/R66 - 12/T66) * _xlpm.PCF,
IF(ISNUMBER(SEARCH("Water", C66)),
_xlpm.Tons * (R66-T66) * _xlpm.PCF,
IF(ISNUMBER(SEARCH("ASHP", C66)),
_xlpm.Tons * (12/BO66 - 12/BP66) * _xlpm.PCF,
IF(OR(ISNUMBER(SEARCH("PTAC", C66)), ISNUMBER(SEARCH("PTHP", C66))),
_xlpm.Tons * (12/L66 - 12/N66) * _xlpm.PCF,
"Measure Not Specified.")))))), "")</f>
        <v/>
      </c>
      <c r="BH66" s="1004" t="str">
        <f>IFERROR(IF(AI66="per ton", ROUND(V66*AM66, 2),
IF(AND(ISNUMBER(SEARCH("Air-Cooled Chiller",C66)),AI66="$/ton/IPLV"), ROUND((12/L66-12/N66)*V66*AM66, 2),
ROUND(ABS(N66-L66)*V66*AM66, 2))), "")</f>
        <v/>
      </c>
      <c r="BI66" s="967" t="str">
        <f>IFERROR(IF(OR(C66="",N66="",V66="",AA66="",T66="",AE66="",AG66="",ISNUMBER(AR66)=FALSE,AR66=0),"",INDEX(STDHVAC_N[Measure Number],MATCH(C66,STDHVAC_N[Measure Name],0))),"Err")</f>
        <v/>
      </c>
      <c r="BJ66" s="996" t="str">
        <f>IFERROR(IF(BT66="",IF(AR66 &lt; BH66, "100% Total Cost", ""), ""), "")</f>
        <v/>
      </c>
      <c r="BK66" s="967" t="str">
        <f>IFERROR(
IF(OR(C66="",J66="",L66="",N66="",P66="",R66="",T66="",V66="",AE66="",AG66=""),
"",
IF(BT66&gt;0,"",IF(OR(AND(ISNUMBER(SEARCH("kW/ton", J66)),OR(L66&lt;N66,R66&lt;T66)),AND(NOT(ISNUMBER(SEARCH("kW/ton", J66))),OR(L66&gt;N66,R66&gt;T66))),
"Must Improve Efficiency",
IF(EXPIRATION&lt;&gt;"",PROJSTATEXP,"")))),
"")</f>
        <v/>
      </c>
      <c r="BL66" s="959" t="str">
        <f>IFERROR(INDEX(STDHVAC_N[Measure Life (Years)],MATCH(C66,STDHVAC_N[Measure Name],0)),"")</f>
        <v/>
      </c>
      <c r="BM66" s="787" t="str">
        <f>IFERROR(IF(OR(C66="",N66="",V66="",AA66="",T66="",AE66="",AG66=""),"",
ROUND(((1+ELOSS)*((BA66*INDEX(ELECCB[NPV AEC $/kWh],MATCH(BL66,ELECCB[Year Number],1)))+(BB66*INDEX(ELECCB[NPV ACC $/kW],MATCH(BL66,ELECCB[Year Number],1))))),2)),0)</f>
        <v/>
      </c>
      <c r="BN66" s="1006" t="str">
        <f>IFERROR(IF(INDEX(STDHVAC_N[Eff Unit 3],MATCH(C66,STDHVAC_N[Measure Name],0))="","",INDEX(STDHVAC_N[Eff Unit 3],MATCH(C66,STDHVAC_N[Measure Name],0))),"")</f>
        <v/>
      </c>
      <c r="BO66" s="1008" t="str">
        <f>IFERROR(IF(INDEX(STDHVAC_N[Base Efficiency 3],MATCH(C66,STDHVAC_N[Measure Name],0))="","",INDEX(STDHVAC_N[Base Efficiency 3],MATCH(C66,STDHVAC_N[Measure Name],0))),"")</f>
        <v/>
      </c>
      <c r="BP66" s="1010" t="str">
        <f>IFERROR(IF(ISNUMBER(SEARCH("Air-Cooled Chiller",$C66)),12/N66,""),"")</f>
        <v/>
      </c>
      <c r="BQ66" s="1012"/>
      <c r="BR66" s="1014" t="str">
        <f>IFERROR(IF(BI66="","",INDEX(STDHVAC_N[Reporting Methodology],MATCH(C66,STDHVAC_N[Measure Name],0))),"Err")</f>
        <v/>
      </c>
      <c r="BS66" s="787" t="str">
        <f>IFERROR(IF(OR(C66="",V66=""),"",INDEX(STDHVAC_N[Incremental Measure Cost ($/Unit)],MATCH(C66,STDHVAC_N[Measure Name],0))*V66),"Err")</f>
        <v/>
      </c>
      <c r="BT66" s="853"/>
    </row>
    <row r="67" spans="2:72" ht="15.95" customHeight="1">
      <c r="B67" s="800"/>
      <c r="C67" s="936"/>
      <c r="D67" s="937"/>
      <c r="E67" s="937"/>
      <c r="F67" s="937"/>
      <c r="G67" s="937"/>
      <c r="H67" s="937"/>
      <c r="I67" s="938"/>
      <c r="J67" s="941"/>
      <c r="K67" s="942"/>
      <c r="L67" s="944"/>
      <c r="M67" s="944"/>
      <c r="N67" s="947"/>
      <c r="O67" s="948"/>
      <c r="P67" s="941"/>
      <c r="Q67" s="942"/>
      <c r="R67" s="944"/>
      <c r="S67" s="944"/>
      <c r="T67" s="951"/>
      <c r="U67" s="952"/>
      <c r="V67" s="955"/>
      <c r="W67" s="956"/>
      <c r="X67" s="936"/>
      <c r="Y67" s="937"/>
      <c r="Z67" s="938"/>
      <c r="AA67" s="1016"/>
      <c r="AB67" s="937"/>
      <c r="AC67" s="937"/>
      <c r="AD67" s="938"/>
      <c r="AE67" s="979"/>
      <c r="AF67" s="980"/>
      <c r="AG67" s="980"/>
      <c r="AH67" s="982"/>
      <c r="AI67" s="985"/>
      <c r="AJ67" s="985"/>
      <c r="AK67" s="985"/>
      <c r="AL67" s="986"/>
      <c r="AM67" s="991"/>
      <c r="AN67" s="992"/>
      <c r="AO67" s="988"/>
      <c r="AP67" s="988"/>
      <c r="AQ67" s="988"/>
      <c r="AR67" s="970"/>
      <c r="AS67" s="970"/>
      <c r="AT67" s="970"/>
      <c r="AU67" s="970"/>
      <c r="AV67" s="21"/>
      <c r="AY67" s="972"/>
      <c r="AZ67" s="974"/>
      <c r="BA67" s="976"/>
      <c r="BB67" s="976"/>
      <c r="BC67" s="962"/>
      <c r="BD67" s="962"/>
      <c r="BE67" s="964"/>
      <c r="BF67" s="966"/>
      <c r="BG67" s="966"/>
      <c r="BH67" s="1005"/>
      <c r="BI67" s="968"/>
      <c r="BJ67" s="997"/>
      <c r="BK67" s="968"/>
      <c r="BL67" s="960"/>
      <c r="BM67" s="788"/>
      <c r="BN67" s="1007"/>
      <c r="BO67" s="1009"/>
      <c r="BP67" s="1011"/>
      <c r="BQ67" s="1013"/>
      <c r="BR67" s="849"/>
      <c r="BS67" s="788"/>
      <c r="BT67" s="854"/>
    </row>
    <row r="68" spans="2:72" ht="15.95" customHeight="1">
      <c r="B68" s="800">
        <v>26</v>
      </c>
      <c r="C68" s="993"/>
      <c r="D68" s="994"/>
      <c r="E68" s="994"/>
      <c r="F68" s="994"/>
      <c r="G68" s="994"/>
      <c r="H68" s="994"/>
      <c r="I68" s="995"/>
      <c r="J68" s="939" t="str">
        <f>IF(C68="","",INDEX(STDHVAC_N[Eff Unit 1],MATCH(C68,STDHVAC_N[Measure Name],0)))</f>
        <v/>
      </c>
      <c r="K68" s="940"/>
      <c r="L68" s="943" t="str">
        <f>IF(C68="","",INDEX(STDHVAC_N[Base Efficiency 1],MATCH(C68,STDHVAC_N[Measure Name],0)))</f>
        <v/>
      </c>
      <c r="M68" s="943"/>
      <c r="N68" s="945"/>
      <c r="O68" s="946"/>
      <c r="P68" s="939" t="str">
        <f>IF(C68="","",INDEX(STDHVAC_N[Eff Unit 2],MATCH(C68,STDHVAC_N[Measure Name],0)))</f>
        <v/>
      </c>
      <c r="Q68" s="940"/>
      <c r="R68" s="943" t="str">
        <f>IF(C68="","",INDEX(STDHVAC_N[Base Efficiency 2],MATCH(C68,STDHVAC_N[Measure Name],0)))</f>
        <v/>
      </c>
      <c r="S68" s="943"/>
      <c r="T68" s="949" t="str">
        <f t="shared" ref="T68" si="49">IF(AND(ISNUMBER(SEARCH("DX",C68)),ISNUMBER(SEARCH("&lt;65 kbtu",C68)),N68&lt;&gt;""),1.12*N68-0.02*N68^2,IF(ISNUMBER(SEARCH("PTAC",C68)),1,""))</f>
        <v/>
      </c>
      <c r="U68" s="950"/>
      <c r="V68" s="955"/>
      <c r="W68" s="956"/>
      <c r="X68" s="993"/>
      <c r="Y68" s="994"/>
      <c r="Z68" s="995"/>
      <c r="AA68" s="1015"/>
      <c r="AB68" s="889"/>
      <c r="AC68" s="889"/>
      <c r="AD68" s="935"/>
      <c r="AE68" s="979"/>
      <c r="AF68" s="980"/>
      <c r="AG68" s="980"/>
      <c r="AH68" s="982"/>
      <c r="AI68" s="985" t="str">
        <f>IF(C68="","",INDEX(STDHVAC_N[Current Unit],MATCH(C68,STDHVAC_N[Measure Name],0)))</f>
        <v/>
      </c>
      <c r="AJ68" s="985"/>
      <c r="AK68" s="985"/>
      <c r="AL68" s="986"/>
      <c r="AM68" s="998" t="str">
        <f>IFERROR(IF(C68="","",INDEX(IF(AND(ACTIVEBONUS_N = TRUE,INDEX(STDHVAC_N[Bonus Incentive],MATCH(C68,STDHVAC_N[Measure Name],0))&lt;&gt; ""),STDHVAC_N[Bonus Incentive],STDHVAC_N[Base Incentive]),MATCH(C68,STDHVAC_N[Measure Name],0))),"")</f>
        <v/>
      </c>
      <c r="AN68" s="999"/>
      <c r="AO68" s="987" t="str">
        <f>IFERROR(IF(OR(C68="",N68="",V68="",AA68="",T68="",AE68="",AG68=""),"",BF68),"")</f>
        <v/>
      </c>
      <c r="AP68" s="987"/>
      <c r="AQ68" s="987"/>
      <c r="AR68" s="969" t="str">
        <f>IFERROR(IF(OR(C68="",N68="",V68="",AA68="",T68="",AE68="",AG68=""),"",IF(BK68&lt;&gt;"",BK68,IF(BT68&gt;0,BT68,ROUND(IF(AO68&lt;=0,0,MIN(AY68,BH68)), 2)))), "")</f>
        <v/>
      </c>
      <c r="AS68" s="969"/>
      <c r="AT68" s="969"/>
      <c r="AU68" s="969"/>
      <c r="AV68" s="21"/>
      <c r="AY68" s="971" t="str">
        <f>IF(OR(C68="",N68="",V68="",AA68="",T68="",AE68="",AG68=""),"",IF(AO68=0,"",ROUND(AE68+AG68,2)))</f>
        <v/>
      </c>
      <c r="AZ68" s="973" t="str">
        <f>IFERROR(IF(OR(C68="",N68="",V68="",AA68="",T68="",AE68="",AG68=""),"",INDEX(STDHVAC_N[Current Unit],MATCH(C68,STDHVAC_N[Measure Name],0))),"Err")</f>
        <v/>
      </c>
      <c r="BA68" s="975" t="str">
        <f>IF(
OR(C68="",N68="",T68="",V68="",AA68="",AE68="",AG68=""),"",
IF(OR(ISNUMBER(SEARCH("PTAC",C68)),ISNUMBER(SEARCH("PTHP",C68))),
ROUND(V68*INDEX(STDHVAC_N[Electric Energy Savings (Annual kWh/unit)],MATCH(C68,#REF!,0)),4),
ROUND(V68*ABS(N68-L68)*INDEX(STDHVAC_N[Electric Energy Savings (Annual kWh/unit)],MATCH(C68,STDHVAC_N[Measure Name],0)),4)
))</f>
        <v/>
      </c>
      <c r="BB68" s="975" t="str">
        <f>IF(
OR(C68="",N68="",T68="",V68="",AA68="",AE68="",AG68=""),"",
IF(OR(ISNUMBER(SEARCH("PTAC",C68)),ISNUMBER(SEARCH("PTHP",C68))),
ROUND(V68*INDEX(STDHVAC_N[Coincident Peak Demand Savings (kW/unit)],MATCH(C68,STDHVAC_N[Measure Name],0)),4),
ROUND(V68*ABS(N68-L68)*INDEX(STDHVAC_N[Coincident Peak Demand Savings (kW/unit)],MATCH(C68,STDHVAC_N[Measure Name],0)),4)
))</f>
        <v/>
      </c>
      <c r="BC68" s="962"/>
      <c r="BD68" s="962"/>
      <c r="BE68" s="963" t="str">
        <f>IFERROR(IF(OR(C68="",N68="",V68="",AA68="",T68="",AE68="",AG68=""),"",INDEX(STDHVAC_N[End Use],MATCH(C68,STDHVAC_N[Measure Name],0))),"Err")</f>
        <v/>
      </c>
      <c r="BF68" s="965" t="str">
        <f>IF(C68&lt;&gt;"", _xlfn.LET(
_xlpm.Tons_Cool, V68, _xlpm.PLC_Base, L68, _xlpm.PLC_Eff, N68, _xlpm.Tons_Heat, BQ68, _xlpm.Other_Base, R68, _xlpm.Other_Eff, T68,
_xlpm.EFLH_Cool,
INDEX(STDHVAC_N[EFLHcool],MATCH(C68,STDHVAC_N[Measure Name],0)),
_xlpm.EFLH_Heat,
INDEX(STDHVAC_N[EFLHheat],MATCH(C68,STDHVAC_N[Measure Name],0)),
_xlpm.ElecHeat,
INDEX(SPACEHEAT[ELECHEAT],MATCH(N02S03F29,SPACEHEAT[Space Conditioning],0)),
_xlpm.kWhCool,
ROUND(
IF(OR(ISNUMBER(SEARCH("DX", C68)),ISNUMBER(SEARCH("ASHP", C68)), ISNUMBER(SEARCH("PTAC", C68)), ISNUMBER(SEARCH("PTHP", C68)), ISNUMBER(SEARCH("Air-Cooled Chiller", C68)), ISNUMBER(SEARCH("VRF", C68))),
_xlpm.Tons_Cool * (12/_xlpm.PLC_Base - 12/_xlpm.PLC_Eff)*_xlpm.EFLH_Cool,
IF(ISNUMBER(SEARCH("Water", C68)),
_xlpm.Tons_Cool * (_xlpm.PLC_Base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(1/_xlpm.Other_Base - 1/_xlpm.Other_Eff) * _xlpm.EFLH_Heat,
" "
)),4),
0
),
IFERROR(_xlpm.kWhCool + _xlpm.kWhHeat, "Measure Not Specified.")
), "")</f>
        <v/>
      </c>
      <c r="BG68" s="965" t="str">
        <f t="shared" ref="BG68" si="50">IF(C68&lt;&gt;"", _xlfn.LET(
_xlpm.Tons, V68, _xlpm.PCF, 0.913,
IF(AND(ISNUMBER(SEARCH("DX",C68)),ISNUMBER(SEARCH("&lt;65 kbtu",C68))),
_xlpm.Tons * (12/11.42-12/MAX(11.42,T68))*_xlpm.PCF,
IF(OR(ISNUMBER(SEARCH("DX", C68)), ISNUMBER(SEARCH("Air-Cooled Chiller", C68)), ISNUMBER(SEARCH("VRF", C68))),
_xlpm.Tons * (12/R68 - 12/T68) * _xlpm.PCF,
IF(ISNUMBER(SEARCH("Water", C68)),
_xlpm.Tons * (R68-T68) * _xlpm.PCF,
IF(ISNUMBER(SEARCH("ASHP", C68)),
_xlpm.Tons * (12/BO68 - 12/BP68) * _xlpm.PCF,
IF(OR(ISNUMBER(SEARCH("PTAC", C68)), ISNUMBER(SEARCH("PTHP", C68))),
_xlpm.Tons * (12/L68 - 12/N68) * _xlpm.PCF,
"Measure Not Specified.")))))), "")</f>
        <v/>
      </c>
      <c r="BH68" s="1004" t="str">
        <f>IFERROR(IF(AI68="per ton", ROUND(V68*AM68, 2),
IF(AND(ISNUMBER(SEARCH("Air-Cooled Chiller",C68)),AI68="$/ton/IPLV"), ROUND((12/L68-12/N68)*V68*AM68, 2),
ROUND(ABS(N68-L68)*V68*AM68, 2))), "")</f>
        <v/>
      </c>
      <c r="BI68" s="967" t="str">
        <f>IFERROR(IF(OR(C68="",N68="",V68="",AA68="",T68="",AE68="",AG68="",ISNUMBER(AR68)=FALSE,AR68=0),"",INDEX(STDHVAC_N[Measure Number],MATCH(C68,STDHVAC_N[Measure Name],0))),"Err")</f>
        <v/>
      </c>
      <c r="BJ68" s="996" t="str">
        <f>IFERROR(IF(BT68="",IF(AR68 &lt; BH68, "100% Total Cost", ""), ""), "")</f>
        <v/>
      </c>
      <c r="BK68" s="967" t="str">
        <f>IFERROR(
IF(OR(C68="",J68="",L68="",N68="",P68="",R68="",T68="",V68="",AE68="",AG68=""),
"",
IF(BT68&gt;0,"",IF(OR(AND(ISNUMBER(SEARCH("kW/ton", J68)),OR(L68&lt;N68,R68&lt;T68)),AND(NOT(ISNUMBER(SEARCH("kW/ton", J68))),OR(L68&gt;N68,R68&gt;T68))),
"Must Improve Efficiency",
IF(EXPIRATION&lt;&gt;"",PROJSTATEXP,"")))),
"")</f>
        <v/>
      </c>
      <c r="BL68" s="959" t="str">
        <f>IFERROR(INDEX(STDHVAC_N[Measure Life (Years)],MATCH(C68,STDHVAC_N[Measure Name],0)),"")</f>
        <v/>
      </c>
      <c r="BM68" s="787" t="str">
        <f>IFERROR(IF(OR(C68="",N68="",V68="",AA68="",T68="",AE68="",AG68=""),"",
ROUND(((1+ELOSS)*((BA68*INDEX(ELECCB[NPV AEC $/kWh],MATCH(BL68,ELECCB[Year Number],1)))+(BB68*INDEX(ELECCB[NPV ACC $/kW],MATCH(BL68,ELECCB[Year Number],1))))),2)),0)</f>
        <v/>
      </c>
      <c r="BN68" s="1006" t="str">
        <f>IFERROR(IF(INDEX(STDHVAC_N[Eff Unit 3],MATCH(C68,STDHVAC_N[Measure Name],0))="","",INDEX(STDHVAC_N[Eff Unit 3],MATCH(C68,STDHVAC_N[Measure Name],0))),"")</f>
        <v/>
      </c>
      <c r="BO68" s="1008" t="str">
        <f>IFERROR(IF(INDEX(STDHVAC_N[Base Efficiency 3],MATCH(C68,STDHVAC_N[Measure Name],0))="","",INDEX(STDHVAC_N[Base Efficiency 3],MATCH(C68,STDHVAC_N[Measure Name],0))),"")</f>
        <v/>
      </c>
      <c r="BP68" s="1010" t="str">
        <f>IFERROR(IF(ISNUMBER(SEARCH("Air-Cooled Chiller",$C68)),12/N68,""),"")</f>
        <v/>
      </c>
      <c r="BQ68" s="1012"/>
      <c r="BR68" s="1014" t="str">
        <f>IFERROR(IF(BI68="","",INDEX(STDHVAC_N[Reporting Methodology],MATCH(C68,STDHVAC_N[Measure Name],0))),"Err")</f>
        <v/>
      </c>
      <c r="BS68" s="787" t="str">
        <f>IFERROR(IF(OR(C68="",V68=""),"",INDEX(STDHVAC_N[Incremental Measure Cost ($/Unit)],MATCH(C68,STDHVAC_N[Measure Name],0))*V68),"Err")</f>
        <v/>
      </c>
      <c r="BT68" s="853"/>
    </row>
    <row r="69" spans="2:72" ht="15.95" customHeight="1">
      <c r="B69" s="800"/>
      <c r="C69" s="936"/>
      <c r="D69" s="937"/>
      <c r="E69" s="937"/>
      <c r="F69" s="937"/>
      <c r="G69" s="937"/>
      <c r="H69" s="937"/>
      <c r="I69" s="938"/>
      <c r="J69" s="941"/>
      <c r="K69" s="942"/>
      <c r="L69" s="944"/>
      <c r="M69" s="944"/>
      <c r="N69" s="947"/>
      <c r="O69" s="948"/>
      <c r="P69" s="941"/>
      <c r="Q69" s="942"/>
      <c r="R69" s="944"/>
      <c r="S69" s="944"/>
      <c r="T69" s="951"/>
      <c r="U69" s="952"/>
      <c r="V69" s="955"/>
      <c r="W69" s="956"/>
      <c r="X69" s="936"/>
      <c r="Y69" s="937"/>
      <c r="Z69" s="938"/>
      <c r="AA69" s="1016"/>
      <c r="AB69" s="937"/>
      <c r="AC69" s="937"/>
      <c r="AD69" s="938"/>
      <c r="AE69" s="979"/>
      <c r="AF69" s="980"/>
      <c r="AG69" s="980"/>
      <c r="AH69" s="982"/>
      <c r="AI69" s="985"/>
      <c r="AJ69" s="985"/>
      <c r="AK69" s="985"/>
      <c r="AL69" s="986"/>
      <c r="AM69" s="991"/>
      <c r="AN69" s="992"/>
      <c r="AO69" s="988"/>
      <c r="AP69" s="988"/>
      <c r="AQ69" s="988"/>
      <c r="AR69" s="970"/>
      <c r="AS69" s="970"/>
      <c r="AT69" s="970"/>
      <c r="AU69" s="970"/>
      <c r="AV69" s="21"/>
      <c r="AY69" s="972"/>
      <c r="AZ69" s="974"/>
      <c r="BA69" s="976"/>
      <c r="BB69" s="976"/>
      <c r="BC69" s="962"/>
      <c r="BD69" s="962"/>
      <c r="BE69" s="964"/>
      <c r="BF69" s="966"/>
      <c r="BG69" s="966"/>
      <c r="BH69" s="1005"/>
      <c r="BI69" s="968"/>
      <c r="BJ69" s="997"/>
      <c r="BK69" s="968"/>
      <c r="BL69" s="960"/>
      <c r="BM69" s="788"/>
      <c r="BN69" s="1007"/>
      <c r="BO69" s="1009"/>
      <c r="BP69" s="1011"/>
      <c r="BQ69" s="1013"/>
      <c r="BR69" s="849"/>
      <c r="BS69" s="788"/>
      <c r="BT69" s="854"/>
    </row>
    <row r="70" spans="2:72" ht="15.95" customHeight="1">
      <c r="B70" s="800">
        <v>27</v>
      </c>
      <c r="C70" s="993"/>
      <c r="D70" s="994"/>
      <c r="E70" s="994"/>
      <c r="F70" s="994"/>
      <c r="G70" s="994"/>
      <c r="H70" s="994"/>
      <c r="I70" s="995"/>
      <c r="J70" s="939" t="str">
        <f>IF(C70="","",INDEX(STDHVAC_N[Eff Unit 1],MATCH(C70,STDHVAC_N[Measure Name],0)))</f>
        <v/>
      </c>
      <c r="K70" s="940"/>
      <c r="L70" s="943" t="str">
        <f>IF(C70="","",INDEX(STDHVAC_N[Base Efficiency 1],MATCH(C70,STDHVAC_N[Measure Name],0)))</f>
        <v/>
      </c>
      <c r="M70" s="943"/>
      <c r="N70" s="945"/>
      <c r="O70" s="946"/>
      <c r="P70" s="939" t="str">
        <f>IF(C70="","",INDEX(STDHVAC_N[Eff Unit 2],MATCH(C70,STDHVAC_N[Measure Name],0)))</f>
        <v/>
      </c>
      <c r="Q70" s="940"/>
      <c r="R70" s="943" t="str">
        <f>IF(C70="","",INDEX(STDHVAC_N[Base Efficiency 2],MATCH(C70,STDHVAC_N[Measure Name],0)))</f>
        <v/>
      </c>
      <c r="S70" s="943"/>
      <c r="T70" s="949" t="str">
        <f t="shared" ref="T70" si="51">IF(AND(ISNUMBER(SEARCH("DX",C70)),ISNUMBER(SEARCH("&lt;65 kbtu",C70)),N70&lt;&gt;""),1.12*N70-0.02*N70^2,IF(ISNUMBER(SEARCH("PTAC",C70)),1,""))</f>
        <v/>
      </c>
      <c r="U70" s="950"/>
      <c r="V70" s="955"/>
      <c r="W70" s="956"/>
      <c r="X70" s="993"/>
      <c r="Y70" s="994"/>
      <c r="Z70" s="995"/>
      <c r="AA70" s="1015"/>
      <c r="AB70" s="889"/>
      <c r="AC70" s="889"/>
      <c r="AD70" s="935"/>
      <c r="AE70" s="979"/>
      <c r="AF70" s="980"/>
      <c r="AG70" s="980"/>
      <c r="AH70" s="982"/>
      <c r="AI70" s="985" t="str">
        <f>IF(C70="","",INDEX(STDHVAC_N[Current Unit],MATCH(C70,STDHVAC_N[Measure Name],0)))</f>
        <v/>
      </c>
      <c r="AJ70" s="985"/>
      <c r="AK70" s="985"/>
      <c r="AL70" s="986"/>
      <c r="AM70" s="998" t="str">
        <f>IFERROR(IF(C70="","",INDEX(IF(AND(ACTIVEBONUS_N = TRUE,INDEX(STDHVAC_N[Bonus Incentive],MATCH(C70,STDHVAC_N[Measure Name],0))&lt;&gt; ""),STDHVAC_N[Bonus Incentive],STDHVAC_N[Base Incentive]),MATCH(C70,STDHVAC_N[Measure Name],0))),"")</f>
        <v/>
      </c>
      <c r="AN70" s="999"/>
      <c r="AO70" s="987" t="str">
        <f>IFERROR(IF(OR(C70="",N70="",V70="",AA70="",T70="",AE70="",AG70=""),"",BF70),"")</f>
        <v/>
      </c>
      <c r="AP70" s="987"/>
      <c r="AQ70" s="987"/>
      <c r="AR70" s="969" t="str">
        <f>IFERROR(IF(OR(C70="",N70="",V70="",AA70="",T70="",AE70="",AG70=""),"",IF(BK70&lt;&gt;"",BK70,IF(BT70&gt;0,BT70,ROUND(IF(AO70&lt;=0,0,MIN(AY70,BH70)), 2)))), "")</f>
        <v/>
      </c>
      <c r="AS70" s="969"/>
      <c r="AT70" s="969"/>
      <c r="AU70" s="969"/>
      <c r="AV70" s="21"/>
      <c r="AY70" s="971" t="str">
        <f>IF(OR(C70="",N70="",V70="",AA70="",T70="",AE70="",AG70=""),"",IF(AO70=0,"",ROUND(AE70+AG70,2)))</f>
        <v/>
      </c>
      <c r="AZ70" s="973" t="str">
        <f>IFERROR(IF(OR(C70="",N70="",V70="",AA70="",T70="",AE70="",AG70=""),"",INDEX(STDHVAC_N[Current Unit],MATCH(C70,STDHVAC_N[Measure Name],0))),"Err")</f>
        <v/>
      </c>
      <c r="BA70" s="975" t="str">
        <f>IF(
OR(C70="",N70="",T70="",V70="",AA70="",AE70="",AG70=""),"",
IF(OR(ISNUMBER(SEARCH("PTAC",C70)),ISNUMBER(SEARCH("PTHP",C70))),
ROUND(V70*INDEX(STDHVAC_N[Electric Energy Savings (Annual kWh/unit)],MATCH(C70,#REF!,0)),4),
ROUND(V70*ABS(N70-L70)*INDEX(STDHVAC_N[Electric Energy Savings (Annual kWh/unit)],MATCH(C70,STDHVAC_N[Measure Name],0)),4)
))</f>
        <v/>
      </c>
      <c r="BB70" s="975" t="str">
        <f>IF(
OR(C70="",N70="",T70="",V70="",AA70="",AE70="",AG70=""),"",
IF(OR(ISNUMBER(SEARCH("PTAC",C70)),ISNUMBER(SEARCH("PTHP",C70))),
ROUND(V70*INDEX(STDHVAC_N[Coincident Peak Demand Savings (kW/unit)],MATCH(C70,STDHVAC_N[Measure Name],0)),4),
ROUND(V70*ABS(N70-L70)*INDEX(STDHVAC_N[Coincident Peak Demand Savings (kW/unit)],MATCH(C70,STDHVAC_N[Measure Name],0)),4)
))</f>
        <v/>
      </c>
      <c r="BC70" s="962"/>
      <c r="BD70" s="962"/>
      <c r="BE70" s="963" t="str">
        <f>IFERROR(IF(OR(C70="",N70="",V70="",AA70="",T70="",AE70="",AG70=""),"",INDEX(STDHVAC_N[End Use],MATCH(C70,STDHVAC_N[Measure Name],0))),"Err")</f>
        <v/>
      </c>
      <c r="BF70" s="965" t="str">
        <f>IF(C70&lt;&gt;"", _xlfn.LET(
_xlpm.Tons_Cool, V70, _xlpm.PLC_Base, L70, _xlpm.PLC_Eff, N70, _xlpm.Tons_Heat, BQ70, _xlpm.Other_Base, R70, _xlpm.Other_Eff, T70,
_xlpm.EFLH_Cool,
INDEX(STDHVAC_N[EFLHcool],MATCH(C70,STDHVAC_N[Measure Name],0)),
_xlpm.EFLH_Heat,
INDEX(STDHVAC_N[EFLHheat],MATCH(C70,STDHVAC_N[Measure Name],0)),
_xlpm.ElecHeat,
INDEX(SPACEHEAT[ELECHEAT],MATCH(N02S03F29,SPACEHEAT[Space Conditioning],0)),
_xlpm.kWhCool,
ROUND(
IF(OR(ISNUMBER(SEARCH("DX", C70)),ISNUMBER(SEARCH("ASHP", C70)), ISNUMBER(SEARCH("PTAC", C70)), ISNUMBER(SEARCH("PTHP", C70)), ISNUMBER(SEARCH("Air-Cooled Chiller", C70)), ISNUMBER(SEARCH("VRF", C70))),
_xlpm.Tons_Cool * (12/_xlpm.PLC_Base - 12/_xlpm.PLC_Eff)*_xlpm.EFLH_Cool,
IF(ISNUMBER(SEARCH("Water", C70)),
_xlpm.Tons_Cool * (_xlpm.PLC_Base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(1/_xlpm.Other_Base - 1/_xlpm.Other_Eff) * _xlpm.EFLH_Heat,
" "
)),4),
0
),
IFERROR(_xlpm.kWhCool + _xlpm.kWhHeat, "Measure Not Specified.")
), "")</f>
        <v/>
      </c>
      <c r="BG70" s="965" t="str">
        <f t="shared" ref="BG70" si="52">IF(C70&lt;&gt;"", _xlfn.LET(
_xlpm.Tons, V70, _xlpm.PCF, 0.913,
IF(AND(ISNUMBER(SEARCH("DX",C70)),ISNUMBER(SEARCH("&lt;65 kbtu",C70))),
_xlpm.Tons * (12/11.42-12/MAX(11.42,T70))*_xlpm.PCF,
IF(OR(ISNUMBER(SEARCH("DX", C70)), ISNUMBER(SEARCH("Air-Cooled Chiller", C70)), ISNUMBER(SEARCH("VRF", C70))),
_xlpm.Tons * (12/R70 - 12/T70) * _xlpm.PCF,
IF(ISNUMBER(SEARCH("Water", C70)),
_xlpm.Tons * (R70-T70) * _xlpm.PCF,
IF(ISNUMBER(SEARCH("ASHP", C70)),
_xlpm.Tons * (12/BO70 - 12/BP70) * _xlpm.PCF,
IF(OR(ISNUMBER(SEARCH("PTAC", C70)), ISNUMBER(SEARCH("PTHP", C70))),
_xlpm.Tons * (12/L70 - 12/N70) * _xlpm.PCF,
"Measure Not Specified.")))))), "")</f>
        <v/>
      </c>
      <c r="BH70" s="1004" t="str">
        <f>IFERROR(IF(AI70="per ton", ROUND(V70*AM70, 2),
IF(AND(ISNUMBER(SEARCH("Air-Cooled Chiller",C70)),AI70="$/ton/IPLV"), ROUND((12/L70-12/N70)*V70*AM70, 2),
ROUND(ABS(N70-L70)*V70*AM70, 2))), "")</f>
        <v/>
      </c>
      <c r="BI70" s="967" t="str">
        <f>IFERROR(IF(OR(C70="",N70="",V70="",AA70="",T70="",AE70="",AG70="",ISNUMBER(AR70)=FALSE,AR70=0),"",INDEX(STDHVAC_N[Measure Number],MATCH(C70,STDHVAC_N[Measure Name],0))),"Err")</f>
        <v/>
      </c>
      <c r="BJ70" s="996" t="str">
        <f>IFERROR(IF(BT70="",IF(AR70 &lt; BH70, "100% Total Cost", ""), ""), "")</f>
        <v/>
      </c>
      <c r="BK70" s="967" t="str">
        <f>IFERROR(
IF(OR(C70="",J70="",L70="",N70="",P70="",R70="",T70="",V70="",AE70="",AG70=""),
"",
IF(BT70&gt;0,"",IF(OR(AND(ISNUMBER(SEARCH("kW/ton", J70)),OR(L70&lt;N70,R70&lt;T70)),AND(NOT(ISNUMBER(SEARCH("kW/ton", J70))),OR(L70&gt;N70,R70&gt;T70))),
"Must Improve Efficiency",
IF(EXPIRATION&lt;&gt;"",PROJSTATEXP,"")))),
"")</f>
        <v/>
      </c>
      <c r="BL70" s="959" t="str">
        <f>IFERROR(INDEX(STDHVAC_N[Measure Life (Years)],MATCH(C70,STDHVAC_N[Measure Name],0)),"")</f>
        <v/>
      </c>
      <c r="BM70" s="787" t="str">
        <f>IFERROR(IF(OR(C70="",N70="",V70="",AA70="",T70="",AE70="",AG70=""),"",
ROUND(((1+ELOSS)*((BA70*INDEX(ELECCB[NPV AEC $/kWh],MATCH(BL70,ELECCB[Year Number],1)))+(BB70*INDEX(ELECCB[NPV ACC $/kW],MATCH(BL70,ELECCB[Year Number],1))))),2)),0)</f>
        <v/>
      </c>
      <c r="BN70" s="1006" t="str">
        <f>IFERROR(IF(INDEX(STDHVAC_N[Eff Unit 3],MATCH(C70,STDHVAC_N[Measure Name],0))="","",INDEX(STDHVAC_N[Eff Unit 3],MATCH(C70,STDHVAC_N[Measure Name],0))),"")</f>
        <v/>
      </c>
      <c r="BO70" s="1008" t="str">
        <f>IFERROR(IF(INDEX(STDHVAC_N[Base Efficiency 3],MATCH(C70,STDHVAC_N[Measure Name],0))="","",INDEX(STDHVAC_N[Base Efficiency 3],MATCH(C70,STDHVAC_N[Measure Name],0))),"")</f>
        <v/>
      </c>
      <c r="BP70" s="1010" t="str">
        <f>IFERROR(IF(ISNUMBER(SEARCH("Air-Cooled Chiller",$C70)),12/N70,""),"")</f>
        <v/>
      </c>
      <c r="BQ70" s="1012"/>
      <c r="BR70" s="1014" t="str">
        <f>IFERROR(IF(BI70="","",INDEX(STDHVAC_N[Reporting Methodology],MATCH(C70,STDHVAC_N[Measure Name],0))),"Err")</f>
        <v/>
      </c>
      <c r="BS70" s="787" t="str">
        <f>IFERROR(IF(OR(C70="",V70=""),"",INDEX(STDHVAC_N[Incremental Measure Cost ($/Unit)],MATCH(C70,STDHVAC_N[Measure Name],0))*V70),"Err")</f>
        <v/>
      </c>
      <c r="BT70" s="853"/>
    </row>
    <row r="71" spans="2:72" ht="15.95" customHeight="1">
      <c r="B71" s="800"/>
      <c r="C71" s="936"/>
      <c r="D71" s="937"/>
      <c r="E71" s="937"/>
      <c r="F71" s="937"/>
      <c r="G71" s="937"/>
      <c r="H71" s="937"/>
      <c r="I71" s="938"/>
      <c r="J71" s="941"/>
      <c r="K71" s="942"/>
      <c r="L71" s="944"/>
      <c r="M71" s="944"/>
      <c r="N71" s="947"/>
      <c r="O71" s="948"/>
      <c r="P71" s="941"/>
      <c r="Q71" s="942"/>
      <c r="R71" s="944"/>
      <c r="S71" s="944"/>
      <c r="T71" s="951"/>
      <c r="U71" s="952"/>
      <c r="V71" s="955"/>
      <c r="W71" s="956"/>
      <c r="X71" s="936"/>
      <c r="Y71" s="937"/>
      <c r="Z71" s="938"/>
      <c r="AA71" s="1016"/>
      <c r="AB71" s="937"/>
      <c r="AC71" s="937"/>
      <c r="AD71" s="938"/>
      <c r="AE71" s="979"/>
      <c r="AF71" s="980"/>
      <c r="AG71" s="980"/>
      <c r="AH71" s="982"/>
      <c r="AI71" s="985"/>
      <c r="AJ71" s="985"/>
      <c r="AK71" s="985"/>
      <c r="AL71" s="986"/>
      <c r="AM71" s="991"/>
      <c r="AN71" s="992"/>
      <c r="AO71" s="988"/>
      <c r="AP71" s="988"/>
      <c r="AQ71" s="988"/>
      <c r="AR71" s="970"/>
      <c r="AS71" s="970"/>
      <c r="AT71" s="970"/>
      <c r="AU71" s="970"/>
      <c r="AV71" s="21"/>
      <c r="AY71" s="972"/>
      <c r="AZ71" s="974"/>
      <c r="BA71" s="976"/>
      <c r="BB71" s="976"/>
      <c r="BC71" s="962"/>
      <c r="BD71" s="962"/>
      <c r="BE71" s="964"/>
      <c r="BF71" s="966"/>
      <c r="BG71" s="966"/>
      <c r="BH71" s="1005"/>
      <c r="BI71" s="968"/>
      <c r="BJ71" s="997"/>
      <c r="BK71" s="968"/>
      <c r="BL71" s="960"/>
      <c r="BM71" s="788"/>
      <c r="BN71" s="1007"/>
      <c r="BO71" s="1009"/>
      <c r="BP71" s="1011"/>
      <c r="BQ71" s="1013"/>
      <c r="BR71" s="849"/>
      <c r="BS71" s="788"/>
      <c r="BT71" s="854"/>
    </row>
    <row r="72" spans="2:72" ht="15.95" customHeight="1">
      <c r="B72" s="800">
        <v>28</v>
      </c>
      <c r="C72" s="993"/>
      <c r="D72" s="994"/>
      <c r="E72" s="994"/>
      <c r="F72" s="994"/>
      <c r="G72" s="994"/>
      <c r="H72" s="994"/>
      <c r="I72" s="995"/>
      <c r="J72" s="939" t="str">
        <f>IF(C72="","",INDEX(STDHVAC_N[Eff Unit 1],MATCH(C72,STDHVAC_N[Measure Name],0)))</f>
        <v/>
      </c>
      <c r="K72" s="940"/>
      <c r="L72" s="943" t="str">
        <f>IF(C72="","",INDEX(STDHVAC_N[Base Efficiency 1],MATCH(C72,STDHVAC_N[Measure Name],0)))</f>
        <v/>
      </c>
      <c r="M72" s="943"/>
      <c r="N72" s="945"/>
      <c r="O72" s="946"/>
      <c r="P72" s="939" t="str">
        <f>IF(C72="","",INDEX(STDHVAC_N[Eff Unit 2],MATCH(C72,STDHVAC_N[Measure Name],0)))</f>
        <v/>
      </c>
      <c r="Q72" s="940"/>
      <c r="R72" s="943" t="str">
        <f>IF(C72="","",INDEX(STDHVAC_N[Base Efficiency 2],MATCH(C72,STDHVAC_N[Measure Name],0)))</f>
        <v/>
      </c>
      <c r="S72" s="943"/>
      <c r="T72" s="949" t="str">
        <f t="shared" ref="T72" si="53">IF(AND(ISNUMBER(SEARCH("DX",C72)),ISNUMBER(SEARCH("&lt;65 kbtu",C72)),N72&lt;&gt;""),1.12*N72-0.02*N72^2,IF(ISNUMBER(SEARCH("PTAC",C72)),1,""))</f>
        <v/>
      </c>
      <c r="U72" s="950"/>
      <c r="V72" s="955"/>
      <c r="W72" s="956"/>
      <c r="X72" s="993"/>
      <c r="Y72" s="994"/>
      <c r="Z72" s="995"/>
      <c r="AA72" s="1015"/>
      <c r="AB72" s="889"/>
      <c r="AC72" s="889"/>
      <c r="AD72" s="935"/>
      <c r="AE72" s="979"/>
      <c r="AF72" s="980"/>
      <c r="AG72" s="980"/>
      <c r="AH72" s="982"/>
      <c r="AI72" s="985" t="str">
        <f>IF(C72="","",INDEX(STDHVAC_N[Current Unit],MATCH(C72,STDHVAC_N[Measure Name],0)))</f>
        <v/>
      </c>
      <c r="AJ72" s="985"/>
      <c r="AK72" s="985"/>
      <c r="AL72" s="986"/>
      <c r="AM72" s="998" t="str">
        <f>IFERROR(IF(C72="","",INDEX(IF(AND(ACTIVEBONUS_N = TRUE,INDEX(STDHVAC_N[Bonus Incentive],MATCH(C72,STDHVAC_N[Measure Name],0))&lt;&gt; ""),STDHVAC_N[Bonus Incentive],STDHVAC_N[Base Incentive]),MATCH(C72,STDHVAC_N[Measure Name],0))),"")</f>
        <v/>
      </c>
      <c r="AN72" s="999"/>
      <c r="AO72" s="987" t="str">
        <f>IFERROR(IF(OR(C72="",N72="",V72="",AA72="",T72="",AE72="",AG72=""),"",BF72),"")</f>
        <v/>
      </c>
      <c r="AP72" s="987"/>
      <c r="AQ72" s="987"/>
      <c r="AR72" s="969" t="str">
        <f>IFERROR(IF(OR(C72="",N72="",V72="",AA72="",T72="",AE72="",AG72=""),"",IF(BK72&lt;&gt;"",BK72,IF(BT72&gt;0,BT72,ROUND(IF(AO72&lt;=0,0,MIN(AY72,BH72)), 2)))), "")</f>
        <v/>
      </c>
      <c r="AS72" s="969"/>
      <c r="AT72" s="969"/>
      <c r="AU72" s="969"/>
      <c r="AV72" s="21"/>
      <c r="AY72" s="971" t="str">
        <f>IF(OR(C72="",N72="",V72="",AA72="",T72="",AE72="",AG72=""),"",IF(AO72=0,"",ROUND(AE72+AG72,2)))</f>
        <v/>
      </c>
      <c r="AZ72" s="973" t="str">
        <f>IFERROR(IF(OR(C72="",N72="",V72="",AA72="",T72="",AE72="",AG72=""),"",INDEX(STDHVAC_N[Current Unit],MATCH(C72,STDHVAC_N[Measure Name],0))),"Err")</f>
        <v/>
      </c>
      <c r="BA72" s="975" t="str">
        <f>IF(
OR(C72="",N72="",T72="",V72="",AA72="",AE72="",AG72=""),"",
IF(OR(ISNUMBER(SEARCH("PTAC",C72)),ISNUMBER(SEARCH("PTHP",C72))),
ROUND(V72*INDEX(STDHVAC_N[Electric Energy Savings (Annual kWh/unit)],MATCH(C72,#REF!,0)),4),
ROUND(V72*ABS(N72-L72)*INDEX(STDHVAC_N[Electric Energy Savings (Annual kWh/unit)],MATCH(C72,STDHVAC_N[Measure Name],0)),4)
))</f>
        <v/>
      </c>
      <c r="BB72" s="975" t="str">
        <f>IF(
OR(C72="",N72="",T72="",V72="",AA72="",AE72="",AG72=""),"",
IF(OR(ISNUMBER(SEARCH("PTAC",C72)),ISNUMBER(SEARCH("PTHP",C72))),
ROUND(V72*INDEX(STDHVAC_N[Coincident Peak Demand Savings (kW/unit)],MATCH(C72,STDHVAC_N[Measure Name],0)),4),
ROUND(V72*ABS(N72-L72)*INDEX(STDHVAC_N[Coincident Peak Demand Savings (kW/unit)],MATCH(C72,STDHVAC_N[Measure Name],0)),4)
))</f>
        <v/>
      </c>
      <c r="BC72" s="962"/>
      <c r="BD72" s="962"/>
      <c r="BE72" s="963" t="str">
        <f>IFERROR(IF(OR(C72="",N72="",V72="",AA72="",T72="",AE72="",AG72=""),"",INDEX(STDHVAC_N[End Use],MATCH(C72,STDHVAC_N[Measure Name],0))),"Err")</f>
        <v/>
      </c>
      <c r="BF72" s="965" t="str">
        <f>IF(C72&lt;&gt;"", _xlfn.LET(
_xlpm.Tons_Cool, V72, _xlpm.PLC_Base, L72, _xlpm.PLC_Eff, N72, _xlpm.Tons_Heat, BQ72, _xlpm.Other_Base, R72, _xlpm.Other_Eff, T72,
_xlpm.EFLH_Cool,
INDEX(STDHVAC_N[EFLHcool],MATCH(C72,STDHVAC_N[Measure Name],0)),
_xlpm.EFLH_Heat,
INDEX(STDHVAC_N[EFLHheat],MATCH(C72,STDHVAC_N[Measure Name],0)),
_xlpm.ElecHeat,
INDEX(SPACEHEAT[ELECHEAT],MATCH(N02S03F29,SPACEHEAT[Space Conditioning],0)),
_xlpm.kWhCool,
ROUND(
IF(OR(ISNUMBER(SEARCH("DX", C72)),ISNUMBER(SEARCH("ASHP", C72)), ISNUMBER(SEARCH("PTAC", C72)), ISNUMBER(SEARCH("PTHP", C72)), ISNUMBER(SEARCH("Air-Cooled Chiller", C72)), ISNUMBER(SEARCH("VRF", C72))),
_xlpm.Tons_Cool * (12/_xlpm.PLC_Base - 12/_xlpm.PLC_Eff)*_xlpm.EFLH_Cool,
IF(ISNUMBER(SEARCH("Water", C72)),
_xlpm.Tons_Cool * (_xlpm.PLC_Base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(1/_xlpm.Other_Base - 1/_xlpm.Other_Eff) * _xlpm.EFLH_Heat,
" "
)),4),
0
),
IFERROR(_xlpm.kWhCool + _xlpm.kWhHeat, "Measure Not Specified.")
), "")</f>
        <v/>
      </c>
      <c r="BG72" s="965" t="str">
        <f t="shared" ref="BG72" si="54">IF(C72&lt;&gt;"", _xlfn.LET(
_xlpm.Tons, V72, _xlpm.PCF, 0.913,
IF(AND(ISNUMBER(SEARCH("DX",C72)),ISNUMBER(SEARCH("&lt;65 kbtu",C72))),
_xlpm.Tons * (12/11.42-12/MAX(11.42,T72))*_xlpm.PCF,
IF(OR(ISNUMBER(SEARCH("DX", C72)), ISNUMBER(SEARCH("Air-Cooled Chiller", C72)), ISNUMBER(SEARCH("VRF", C72))),
_xlpm.Tons * (12/R72 - 12/T72) * _xlpm.PCF,
IF(ISNUMBER(SEARCH("Water", C72)),
_xlpm.Tons * (R72-T72) * _xlpm.PCF,
IF(ISNUMBER(SEARCH("ASHP", C72)),
_xlpm.Tons * (12/BO72 - 12/BP72) * _xlpm.PCF,
IF(OR(ISNUMBER(SEARCH("PTAC", C72)), ISNUMBER(SEARCH("PTHP", C72))),
_xlpm.Tons * (12/L72 - 12/N72) * _xlpm.PCF,
"Measure Not Specified.")))))), "")</f>
        <v/>
      </c>
      <c r="BH72" s="1004" t="str">
        <f>IFERROR(IF(AI72="per ton", ROUND(V72*AM72, 2),
IF(AND(ISNUMBER(SEARCH("Air-Cooled Chiller",C72)),AI72="$/ton/IPLV"), ROUND((12/L72-12/N72)*V72*AM72, 2),
ROUND(ABS(N72-L72)*V72*AM72, 2))), "")</f>
        <v/>
      </c>
      <c r="BI72" s="967" t="str">
        <f>IFERROR(IF(OR(C72="",N72="",V72="",AA72="",T72="",AE72="",AG72="",ISNUMBER(AR72)=FALSE,AR72=0),"",INDEX(STDHVAC_N[Measure Number],MATCH(C72,STDHVAC_N[Measure Name],0))),"Err")</f>
        <v/>
      </c>
      <c r="BJ72" s="996" t="str">
        <f>IFERROR(IF(BT72="",IF(AR72 &lt; BH72, "100% Total Cost", ""), ""), "")</f>
        <v/>
      </c>
      <c r="BK72" s="967" t="str">
        <f>IFERROR(
IF(OR(C72="",J72="",L72="",N72="",P72="",R72="",T72="",V72="",AE72="",AG72=""),
"",
IF(BT72&gt;0,"",IF(OR(AND(ISNUMBER(SEARCH("kW/ton", J72)),OR(L72&lt;N72,R72&lt;T72)),AND(NOT(ISNUMBER(SEARCH("kW/ton", J72))),OR(L72&gt;N72,R72&gt;T72))),
"Must Improve Efficiency",
IF(EXPIRATION&lt;&gt;"",PROJSTATEXP,"")))),
"")</f>
        <v/>
      </c>
      <c r="BL72" s="959" t="str">
        <f>IFERROR(INDEX(STDHVAC_N[Measure Life (Years)],MATCH(C72,STDHVAC_N[Measure Name],0)),"")</f>
        <v/>
      </c>
      <c r="BM72" s="787" t="str">
        <f>IFERROR(IF(OR(C72="",N72="",V72="",AA72="",T72="",AE72="",AG72=""),"",
ROUND(((1+ELOSS)*((BA72*INDEX(ELECCB[NPV AEC $/kWh],MATCH(BL72,ELECCB[Year Number],1)))+(BB72*INDEX(ELECCB[NPV ACC $/kW],MATCH(BL72,ELECCB[Year Number],1))))),2)),0)</f>
        <v/>
      </c>
      <c r="BN72" s="1006" t="str">
        <f>IFERROR(IF(INDEX(STDHVAC_N[Eff Unit 3],MATCH(C72,STDHVAC_N[Measure Name],0))="","",INDEX(STDHVAC_N[Eff Unit 3],MATCH(C72,STDHVAC_N[Measure Name],0))),"")</f>
        <v/>
      </c>
      <c r="BO72" s="1008" t="str">
        <f>IFERROR(IF(INDEX(STDHVAC_N[Base Efficiency 3],MATCH(C72,STDHVAC_N[Measure Name],0))="","",INDEX(STDHVAC_N[Base Efficiency 3],MATCH(C72,STDHVAC_N[Measure Name],0))),"")</f>
        <v/>
      </c>
      <c r="BP72" s="1010" t="str">
        <f>IFERROR(IF(ISNUMBER(SEARCH("Air-Cooled Chiller",$C72)),12/N72,""),"")</f>
        <v/>
      </c>
      <c r="BQ72" s="1012"/>
      <c r="BR72" s="1014" t="str">
        <f>IFERROR(IF(BI72="","",INDEX(STDHVAC_N[Reporting Methodology],MATCH(C72,STDHVAC_N[Measure Name],0))),"Err")</f>
        <v/>
      </c>
      <c r="BS72" s="787" t="str">
        <f>IFERROR(IF(OR(C72="",V72=""),"",INDEX(STDHVAC_N[Incremental Measure Cost ($/Unit)],MATCH(C72,STDHVAC_N[Measure Name],0))*V72),"Err")</f>
        <v/>
      </c>
      <c r="BT72" s="853"/>
    </row>
    <row r="73" spans="2:72" ht="15.95" customHeight="1">
      <c r="B73" s="800"/>
      <c r="C73" s="936"/>
      <c r="D73" s="937"/>
      <c r="E73" s="937"/>
      <c r="F73" s="937"/>
      <c r="G73" s="937"/>
      <c r="H73" s="937"/>
      <c r="I73" s="938"/>
      <c r="J73" s="941"/>
      <c r="K73" s="942"/>
      <c r="L73" s="944"/>
      <c r="M73" s="944"/>
      <c r="N73" s="947"/>
      <c r="O73" s="948"/>
      <c r="P73" s="941"/>
      <c r="Q73" s="942"/>
      <c r="R73" s="944"/>
      <c r="S73" s="944"/>
      <c r="T73" s="951"/>
      <c r="U73" s="952"/>
      <c r="V73" s="955"/>
      <c r="W73" s="956"/>
      <c r="X73" s="936"/>
      <c r="Y73" s="937"/>
      <c r="Z73" s="938"/>
      <c r="AA73" s="1016"/>
      <c r="AB73" s="937"/>
      <c r="AC73" s="937"/>
      <c r="AD73" s="938"/>
      <c r="AE73" s="979"/>
      <c r="AF73" s="980"/>
      <c r="AG73" s="980"/>
      <c r="AH73" s="982"/>
      <c r="AI73" s="985"/>
      <c r="AJ73" s="985"/>
      <c r="AK73" s="985"/>
      <c r="AL73" s="986"/>
      <c r="AM73" s="991"/>
      <c r="AN73" s="992"/>
      <c r="AO73" s="988"/>
      <c r="AP73" s="988"/>
      <c r="AQ73" s="988"/>
      <c r="AR73" s="970"/>
      <c r="AS73" s="970"/>
      <c r="AT73" s="970"/>
      <c r="AU73" s="970"/>
      <c r="AV73" s="21"/>
      <c r="AY73" s="972"/>
      <c r="AZ73" s="974"/>
      <c r="BA73" s="976"/>
      <c r="BB73" s="976"/>
      <c r="BC73" s="962"/>
      <c r="BD73" s="962"/>
      <c r="BE73" s="964"/>
      <c r="BF73" s="966"/>
      <c r="BG73" s="966"/>
      <c r="BH73" s="1005"/>
      <c r="BI73" s="968"/>
      <c r="BJ73" s="997"/>
      <c r="BK73" s="968"/>
      <c r="BL73" s="960"/>
      <c r="BM73" s="788"/>
      <c r="BN73" s="1007"/>
      <c r="BO73" s="1009"/>
      <c r="BP73" s="1011"/>
      <c r="BQ73" s="1013"/>
      <c r="BR73" s="849"/>
      <c r="BS73" s="788"/>
      <c r="BT73" s="854"/>
    </row>
    <row r="74" spans="2:72" ht="15.95" customHeight="1">
      <c r="B74" s="800">
        <v>29</v>
      </c>
      <c r="C74" s="993"/>
      <c r="D74" s="994"/>
      <c r="E74" s="994"/>
      <c r="F74" s="994"/>
      <c r="G74" s="994"/>
      <c r="H74" s="994"/>
      <c r="I74" s="995"/>
      <c r="J74" s="939" t="str">
        <f>IF(C74="","",INDEX(STDHVAC_N[Eff Unit 1],MATCH(C74,STDHVAC_N[Measure Name],0)))</f>
        <v/>
      </c>
      <c r="K74" s="940"/>
      <c r="L74" s="943" t="str">
        <f>IF(C74="","",INDEX(STDHVAC_N[Base Efficiency 1],MATCH(C74,STDHVAC_N[Measure Name],0)))</f>
        <v/>
      </c>
      <c r="M74" s="943"/>
      <c r="N74" s="945"/>
      <c r="O74" s="946"/>
      <c r="P74" s="939" t="str">
        <f>IF(C74="","",INDEX(STDHVAC_N[Eff Unit 2],MATCH(C74,STDHVAC_N[Measure Name],0)))</f>
        <v/>
      </c>
      <c r="Q74" s="940"/>
      <c r="R74" s="943" t="str">
        <f>IF(C74="","",INDEX(STDHVAC_N[Base Efficiency 2],MATCH(C74,STDHVAC_N[Measure Name],0)))</f>
        <v/>
      </c>
      <c r="S74" s="943"/>
      <c r="T74" s="949" t="str">
        <f t="shared" ref="T74" si="55">IF(AND(ISNUMBER(SEARCH("DX",C74)),ISNUMBER(SEARCH("&lt;65 kbtu",C74)),N74&lt;&gt;""),1.12*N74-0.02*N74^2,IF(ISNUMBER(SEARCH("PTAC",C74)),1,""))</f>
        <v/>
      </c>
      <c r="U74" s="950"/>
      <c r="V74" s="955"/>
      <c r="W74" s="956"/>
      <c r="X74" s="993"/>
      <c r="Y74" s="994"/>
      <c r="Z74" s="995"/>
      <c r="AA74" s="1015"/>
      <c r="AB74" s="889"/>
      <c r="AC74" s="889"/>
      <c r="AD74" s="935"/>
      <c r="AE74" s="979"/>
      <c r="AF74" s="980"/>
      <c r="AG74" s="980"/>
      <c r="AH74" s="982"/>
      <c r="AI74" s="985" t="str">
        <f>IF(C74="","",INDEX(STDHVAC_N[Current Unit],MATCH(C74,STDHVAC_N[Measure Name],0)))</f>
        <v/>
      </c>
      <c r="AJ74" s="985"/>
      <c r="AK74" s="985"/>
      <c r="AL74" s="986"/>
      <c r="AM74" s="998" t="str">
        <f>IFERROR(IF(C74="","",INDEX(IF(AND(ACTIVEBONUS_N = TRUE,INDEX(STDHVAC_N[Bonus Incentive],MATCH(C74,STDHVAC_N[Measure Name],0))&lt;&gt; ""),STDHVAC_N[Bonus Incentive],STDHVAC_N[Base Incentive]),MATCH(C74,STDHVAC_N[Measure Name],0))),"")</f>
        <v/>
      </c>
      <c r="AN74" s="999"/>
      <c r="AO74" s="987" t="str">
        <f>IFERROR(IF(OR(C74="",N74="",V74="",AA74="",T74="",AE74="",AG74=""),"",BF74),"")</f>
        <v/>
      </c>
      <c r="AP74" s="987"/>
      <c r="AQ74" s="987"/>
      <c r="AR74" s="969" t="str">
        <f>IFERROR(IF(OR(C74="",N74="",V74="",AA74="",T74="",AE74="",AG74=""),"",IF(BK74&lt;&gt;"",BK74,IF(BT74&gt;0,BT74,ROUND(IF(AO74&lt;=0,0,MIN(AY74,BH74)), 2)))), "")</f>
        <v/>
      </c>
      <c r="AS74" s="969"/>
      <c r="AT74" s="969"/>
      <c r="AU74" s="969"/>
      <c r="AV74" s="21"/>
      <c r="AY74" s="971" t="str">
        <f>IF(OR(C74="",N74="",V74="",AA74="",T74="",AE74="",AG74=""),"",IF(AO74=0,"",ROUND(AE74+AG74,2)))</f>
        <v/>
      </c>
      <c r="AZ74" s="973" t="str">
        <f>IFERROR(IF(OR(C74="",N74="",V74="",AA74="",T74="",AE74="",AG74=""),"",INDEX(STDHVAC_N[Current Unit],MATCH(C74,STDHVAC_N[Measure Name],0))),"Err")</f>
        <v/>
      </c>
      <c r="BA74" s="975" t="str">
        <f>IF(
OR(C74="",N74="",T74="",V74="",AA74="",AE74="",AG74=""),"",
IF(OR(ISNUMBER(SEARCH("PTAC",C74)),ISNUMBER(SEARCH("PTHP",C74))),
ROUND(V74*INDEX(STDHVAC_N[Electric Energy Savings (Annual kWh/unit)],MATCH(C74,#REF!,0)),4),
ROUND(V74*ABS(N74-L74)*INDEX(STDHVAC_N[Electric Energy Savings (Annual kWh/unit)],MATCH(C74,STDHVAC_N[Measure Name],0)),4)
))</f>
        <v/>
      </c>
      <c r="BB74" s="975" t="str">
        <f>IF(
OR(C74="",N74="",T74="",V74="",AA74="",AE74="",AG74=""),"",
IF(OR(ISNUMBER(SEARCH("PTAC",C74)),ISNUMBER(SEARCH("PTHP",C74))),
ROUND(V74*INDEX(STDHVAC_N[Coincident Peak Demand Savings (kW/unit)],MATCH(C74,STDHVAC_N[Measure Name],0)),4),
ROUND(V74*ABS(N74-L74)*INDEX(STDHVAC_N[Coincident Peak Demand Savings (kW/unit)],MATCH(C74,STDHVAC_N[Measure Name],0)),4)
))</f>
        <v/>
      </c>
      <c r="BC74" s="962"/>
      <c r="BD74" s="962"/>
      <c r="BE74" s="963" t="str">
        <f>IFERROR(IF(OR(C74="",N74="",V74="",AA74="",T74="",AE74="",AG74=""),"",INDEX(STDHVAC_N[End Use],MATCH(C74,STDHVAC_N[Measure Name],0))),"Err")</f>
        <v/>
      </c>
      <c r="BF74" s="965" t="str">
        <f>IF(C74&lt;&gt;"", _xlfn.LET(
_xlpm.Tons_Cool, V74, _xlpm.PLC_Base, L74, _xlpm.PLC_Eff, N74, _xlpm.Tons_Heat, BQ74, _xlpm.Other_Base, R74, _xlpm.Other_Eff, T74,
_xlpm.EFLH_Cool,
INDEX(STDHVAC_N[EFLHcool],MATCH(C74,STDHVAC_N[Measure Name],0)),
_xlpm.EFLH_Heat,
INDEX(STDHVAC_N[EFLHheat],MATCH(C74,STDHVAC_N[Measure Name],0)),
_xlpm.ElecHeat,
INDEX(SPACEHEAT[ELECHEAT],MATCH(N02S03F29,SPACEHEAT[Space Conditioning],0)),
_xlpm.kWhCool,
ROUND(
IF(OR(ISNUMBER(SEARCH("DX", C74)),ISNUMBER(SEARCH("ASHP", C74)), ISNUMBER(SEARCH("PTAC", C74)), ISNUMBER(SEARCH("PTHP", C74)), ISNUMBER(SEARCH("Air-Cooled Chiller", C74)), ISNUMBER(SEARCH("VRF", C74))),
_xlpm.Tons_Cool * (12/_xlpm.PLC_Base - 12/_xlpm.PLC_Eff)*_xlpm.EFLH_Cool,
IF(ISNUMBER(SEARCH("Water", C74)),
_xlpm.Tons_Cool * (_xlpm.PLC_Base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(1/_xlpm.Other_Base - 1/_xlpm.Other_Eff) * _xlpm.EFLH_Heat,
" "
)),4),
0
),
IFERROR(_xlpm.kWhCool + _xlpm.kWhHeat, "Measure Not Specified.")
), "")</f>
        <v/>
      </c>
      <c r="BG74" s="965" t="str">
        <f t="shared" ref="BG74" si="56">IF(C74&lt;&gt;"", _xlfn.LET(
_xlpm.Tons, V74, _xlpm.PCF, 0.913,
IF(AND(ISNUMBER(SEARCH("DX",C74)),ISNUMBER(SEARCH("&lt;65 kbtu",C74))),
_xlpm.Tons * (12/11.42-12/MAX(11.42,T74))*_xlpm.PCF,
IF(OR(ISNUMBER(SEARCH("DX", C74)), ISNUMBER(SEARCH("Air-Cooled Chiller", C74)), ISNUMBER(SEARCH("VRF", C74))),
_xlpm.Tons * (12/R74 - 12/T74) * _xlpm.PCF,
IF(ISNUMBER(SEARCH("Water", C74)),
_xlpm.Tons * (R74-T74) * _xlpm.PCF,
IF(ISNUMBER(SEARCH("ASHP", C74)),
_xlpm.Tons * (12/BO74 - 12/BP74) * _xlpm.PCF,
IF(OR(ISNUMBER(SEARCH("PTAC", C74)), ISNUMBER(SEARCH("PTHP", C74))),
_xlpm.Tons * (12/L74 - 12/N74) * _xlpm.PCF,
"Measure Not Specified.")))))), "")</f>
        <v/>
      </c>
      <c r="BH74" s="1004" t="str">
        <f>IFERROR(IF(AI74="per ton", ROUND(V74*AM74, 2),
IF(AND(ISNUMBER(SEARCH("Air-Cooled Chiller",C74)),AI74="$/ton/IPLV"), ROUND((12/L74-12/N74)*V74*AM74, 2),
ROUND(ABS(N74-L74)*V74*AM74, 2))), "")</f>
        <v/>
      </c>
      <c r="BI74" s="967" t="str">
        <f>IFERROR(IF(OR(C74="",N74="",V74="",AA74="",T74="",AE74="",AG74="",ISNUMBER(AR74)=FALSE,AR74=0),"",INDEX(STDHVAC_N[Measure Number],MATCH(C74,STDHVAC_N[Measure Name],0))),"Err")</f>
        <v/>
      </c>
      <c r="BJ74" s="996" t="str">
        <f>IFERROR(IF(BT74="",IF(AR74 &lt; BH74, "100% Total Cost", ""), ""), "")</f>
        <v/>
      </c>
      <c r="BK74" s="967" t="str">
        <f>IFERROR(
IF(OR(C74="",J74="",L74="",N74="",P74="",R74="",T74="",V74="",AE74="",AG74=""),
"",
IF(BT74&gt;0,"",IF(OR(AND(ISNUMBER(SEARCH("kW/ton", J74)),OR(L74&lt;N74,R74&lt;T74)),AND(NOT(ISNUMBER(SEARCH("kW/ton", J74))),OR(L74&gt;N74,R74&gt;T74))),
"Must Improve Efficiency",
IF(EXPIRATION&lt;&gt;"",PROJSTATEXP,"")))),
"")</f>
        <v/>
      </c>
      <c r="BL74" s="959" t="str">
        <f>IFERROR(INDEX(STDHVAC_N[Measure Life (Years)],MATCH(C74,STDHVAC_N[Measure Name],0)),"")</f>
        <v/>
      </c>
      <c r="BM74" s="787" t="str">
        <f>IFERROR(IF(OR(C74="",N74="",V74="",AA74="",T74="",AE74="",AG74=""),"",
ROUND(((1+ELOSS)*((BA74*INDEX(ELECCB[NPV AEC $/kWh],MATCH(BL74,ELECCB[Year Number],1)))+(BB74*INDEX(ELECCB[NPV ACC $/kW],MATCH(BL74,ELECCB[Year Number],1))))),2)),0)</f>
        <v/>
      </c>
      <c r="BN74" s="1006" t="str">
        <f>IFERROR(IF(INDEX(STDHVAC_N[Eff Unit 3],MATCH(C74,STDHVAC_N[Measure Name],0))="","",INDEX(STDHVAC_N[Eff Unit 3],MATCH(C74,STDHVAC_N[Measure Name],0))),"")</f>
        <v/>
      </c>
      <c r="BO74" s="1008" t="str">
        <f>IFERROR(IF(INDEX(STDHVAC_N[Base Efficiency 3],MATCH(C74,STDHVAC_N[Measure Name],0))="","",INDEX(STDHVAC_N[Base Efficiency 3],MATCH(C74,STDHVAC_N[Measure Name],0))),"")</f>
        <v/>
      </c>
      <c r="BP74" s="1010" t="str">
        <f>IFERROR(IF(ISNUMBER(SEARCH("Air-Cooled Chiller",$C74)),12/N74,""),"")</f>
        <v/>
      </c>
      <c r="BQ74" s="1012"/>
      <c r="BR74" s="1014" t="str">
        <f>IFERROR(IF(BI74="","",INDEX(STDHVAC_N[Reporting Methodology],MATCH(C74,STDHVAC_N[Measure Name],0))),"Err")</f>
        <v/>
      </c>
      <c r="BS74" s="787" t="str">
        <f>IFERROR(IF(OR(C74="",V74=""),"",INDEX(STDHVAC_N[Incremental Measure Cost ($/Unit)],MATCH(C74,STDHVAC_N[Measure Name],0))*V74),"Err")</f>
        <v/>
      </c>
      <c r="BT74" s="853"/>
    </row>
    <row r="75" spans="2:72" ht="15.95" customHeight="1">
      <c r="B75" s="800"/>
      <c r="C75" s="936"/>
      <c r="D75" s="937"/>
      <c r="E75" s="937"/>
      <c r="F75" s="937"/>
      <c r="G75" s="937"/>
      <c r="H75" s="937"/>
      <c r="I75" s="938"/>
      <c r="J75" s="941"/>
      <c r="K75" s="942"/>
      <c r="L75" s="944"/>
      <c r="M75" s="944"/>
      <c r="N75" s="947"/>
      <c r="O75" s="948"/>
      <c r="P75" s="941"/>
      <c r="Q75" s="942"/>
      <c r="R75" s="944"/>
      <c r="S75" s="944"/>
      <c r="T75" s="951"/>
      <c r="U75" s="952"/>
      <c r="V75" s="955"/>
      <c r="W75" s="956"/>
      <c r="X75" s="936"/>
      <c r="Y75" s="937"/>
      <c r="Z75" s="938"/>
      <c r="AA75" s="1016"/>
      <c r="AB75" s="937"/>
      <c r="AC75" s="937"/>
      <c r="AD75" s="938"/>
      <c r="AE75" s="979"/>
      <c r="AF75" s="980"/>
      <c r="AG75" s="980"/>
      <c r="AH75" s="982"/>
      <c r="AI75" s="985"/>
      <c r="AJ75" s="985"/>
      <c r="AK75" s="985"/>
      <c r="AL75" s="986"/>
      <c r="AM75" s="991"/>
      <c r="AN75" s="992"/>
      <c r="AO75" s="988"/>
      <c r="AP75" s="988"/>
      <c r="AQ75" s="988"/>
      <c r="AR75" s="970"/>
      <c r="AS75" s="970"/>
      <c r="AT75" s="970"/>
      <c r="AU75" s="970"/>
      <c r="AV75" s="21"/>
      <c r="AY75" s="972"/>
      <c r="AZ75" s="974"/>
      <c r="BA75" s="976"/>
      <c r="BB75" s="976"/>
      <c r="BC75" s="962"/>
      <c r="BD75" s="962"/>
      <c r="BE75" s="964"/>
      <c r="BF75" s="966"/>
      <c r="BG75" s="966"/>
      <c r="BH75" s="1005"/>
      <c r="BI75" s="968"/>
      <c r="BJ75" s="997"/>
      <c r="BK75" s="968"/>
      <c r="BL75" s="960"/>
      <c r="BM75" s="788"/>
      <c r="BN75" s="1007"/>
      <c r="BO75" s="1009"/>
      <c r="BP75" s="1011"/>
      <c r="BQ75" s="1013"/>
      <c r="BR75" s="849"/>
      <c r="BS75" s="788"/>
      <c r="BT75" s="854"/>
    </row>
    <row r="76" spans="2:72" ht="15.95" customHeight="1">
      <c r="B76" s="800">
        <v>30</v>
      </c>
      <c r="C76" s="993"/>
      <c r="D76" s="994"/>
      <c r="E76" s="994"/>
      <c r="F76" s="994"/>
      <c r="G76" s="994"/>
      <c r="H76" s="994"/>
      <c r="I76" s="995"/>
      <c r="J76" s="939" t="str">
        <f>IF(C76="","",INDEX(STDHVAC_N[Eff Unit 1],MATCH(C76,STDHVAC_N[Measure Name],0)))</f>
        <v/>
      </c>
      <c r="K76" s="940"/>
      <c r="L76" s="943" t="str">
        <f>IF(C76="","",INDEX(STDHVAC_N[Base Efficiency 1],MATCH(C76,STDHVAC_N[Measure Name],0)))</f>
        <v/>
      </c>
      <c r="M76" s="943"/>
      <c r="N76" s="945"/>
      <c r="O76" s="946"/>
      <c r="P76" s="939" t="str">
        <f>IF(C76="","",INDEX(STDHVAC_N[Eff Unit 2],MATCH(C76,STDHVAC_N[Measure Name],0)))</f>
        <v/>
      </c>
      <c r="Q76" s="940"/>
      <c r="R76" s="943" t="str">
        <f>IF(C76="","",INDEX(STDHVAC_N[Base Efficiency 2],MATCH(C76,STDHVAC_N[Measure Name],0)))</f>
        <v/>
      </c>
      <c r="S76" s="943"/>
      <c r="T76" s="949" t="str">
        <f t="shared" ref="T76" si="57">IF(AND(ISNUMBER(SEARCH("DX",C76)),ISNUMBER(SEARCH("&lt;65 kbtu",C76)),N76&lt;&gt;""),1.12*N76-0.02*N76^2,IF(ISNUMBER(SEARCH("PTAC",C76)),1,""))</f>
        <v/>
      </c>
      <c r="U76" s="950"/>
      <c r="V76" s="955"/>
      <c r="W76" s="956"/>
      <c r="X76" s="993"/>
      <c r="Y76" s="994"/>
      <c r="Z76" s="995"/>
      <c r="AA76" s="1015"/>
      <c r="AB76" s="889"/>
      <c r="AC76" s="889"/>
      <c r="AD76" s="935"/>
      <c r="AE76" s="979"/>
      <c r="AF76" s="980"/>
      <c r="AG76" s="980"/>
      <c r="AH76" s="982"/>
      <c r="AI76" s="985" t="str">
        <f>IF(C76="","",INDEX(STDHVAC_N[Current Unit],MATCH(C76,STDHVAC_N[Measure Name],0)))</f>
        <v/>
      </c>
      <c r="AJ76" s="985"/>
      <c r="AK76" s="985"/>
      <c r="AL76" s="986"/>
      <c r="AM76" s="998" t="str">
        <f>IFERROR(IF(C76="","",INDEX(IF(AND(ACTIVEBONUS_N = TRUE,INDEX(STDHVAC_N[Bonus Incentive],MATCH(C76,STDHVAC_N[Measure Name],0))&lt;&gt; ""),STDHVAC_N[Bonus Incentive],STDHVAC_N[Base Incentive]),MATCH(C76,STDHVAC_N[Measure Name],0))),"")</f>
        <v/>
      </c>
      <c r="AN76" s="999"/>
      <c r="AO76" s="987" t="str">
        <f>IFERROR(IF(OR(C76="",N76="",V76="",AA76="",T76="",AE76="",AG76=""),"",BF76),"")</f>
        <v/>
      </c>
      <c r="AP76" s="987"/>
      <c r="AQ76" s="987"/>
      <c r="AR76" s="969" t="str">
        <f>IFERROR(IF(OR(C76="",N76="",V76="",AA76="",T76="",AE76="",AG76=""),"",IF(BK76&lt;&gt;"",BK76,IF(BT76&gt;0,BT76,ROUND(IF(AO76&lt;=0,0,MIN(AY76,BH76)), 2)))), "")</f>
        <v/>
      </c>
      <c r="AS76" s="969"/>
      <c r="AT76" s="969"/>
      <c r="AU76" s="969"/>
      <c r="AV76" s="21"/>
      <c r="AY76" s="971" t="str">
        <f>IF(OR(C76="",N76="",V76="",AA76="",T76="",AE76="",AG76=""),"",IF(AO76=0,"",ROUND(AE76+AG76,2)))</f>
        <v/>
      </c>
      <c r="AZ76" s="973" t="str">
        <f>IFERROR(IF(OR(C76="",N76="",V76="",AA76="",T76="",AE76="",AG76=""),"",INDEX(STDHVAC_N[Current Unit],MATCH(C76,STDHVAC_N[Measure Name],0))),"Err")</f>
        <v/>
      </c>
      <c r="BA76" s="975" t="str">
        <f>IF(
OR(C76="",N76="",T76="",V76="",AA76="",AE76="",AG76=""),"",
IF(OR(ISNUMBER(SEARCH("PTAC",C76)),ISNUMBER(SEARCH("PTHP",C76))),
ROUND(V76*INDEX(STDHVAC_N[Electric Energy Savings (Annual kWh/unit)],MATCH(C76,#REF!,0)),4),
ROUND(V76*ABS(N76-L76)*INDEX(STDHVAC_N[Electric Energy Savings (Annual kWh/unit)],MATCH(C76,STDHVAC_N[Measure Name],0)),4)
))</f>
        <v/>
      </c>
      <c r="BB76" s="975" t="str">
        <f>IF(
OR(C76="",N76="",T76="",V76="",AA76="",AE76="",AG76=""),"",
IF(OR(ISNUMBER(SEARCH("PTAC",C76)),ISNUMBER(SEARCH("PTHP",C76))),
ROUND(V76*INDEX(STDHVAC_N[Coincident Peak Demand Savings (kW/unit)],MATCH(C76,STDHVAC_N[Measure Name],0)),4),
ROUND(V76*ABS(N76-L76)*INDEX(STDHVAC_N[Coincident Peak Demand Savings (kW/unit)],MATCH(C76,STDHVAC_N[Measure Name],0)),4)
))</f>
        <v/>
      </c>
      <c r="BC76" s="962"/>
      <c r="BD76" s="962"/>
      <c r="BE76" s="963" t="str">
        <f>IFERROR(IF(OR(C76="",N76="",V76="",AA76="",T76="",AE76="",AG76=""),"",INDEX(STDHVAC_N[End Use],MATCH(C76,STDHVAC_N[Measure Name],0))),"Err")</f>
        <v/>
      </c>
      <c r="BF76" s="965" t="str">
        <f>IF(C76&lt;&gt;"", _xlfn.LET(
_xlpm.Tons_Cool, V76, _xlpm.PLC_Base, L76, _xlpm.PLC_Eff, N76, _xlpm.Tons_Heat, BQ76, _xlpm.Other_Base, R76, _xlpm.Other_Eff, T76,
_xlpm.EFLH_Cool,
INDEX(STDHVAC_N[EFLHcool],MATCH(C76,STDHVAC_N[Measure Name],0)),
_xlpm.EFLH_Heat,
INDEX(STDHVAC_N[EFLHheat],MATCH(C76,STDHVAC_N[Measure Name],0)),
_xlpm.ElecHeat,
INDEX(SPACEHEAT[ELECHEAT],MATCH(N02S03F29,SPACEHEAT[Space Conditioning],0)),
_xlpm.kWhCool,
ROUND(
IF(OR(ISNUMBER(SEARCH("DX", C76)),ISNUMBER(SEARCH("ASHP", C76)), ISNUMBER(SEARCH("PTAC", C76)), ISNUMBER(SEARCH("PTHP", C76)), ISNUMBER(SEARCH("Air-Cooled Chiller", C76)), ISNUMBER(SEARCH("VRF", C76))),
_xlpm.Tons_Cool * (12/_xlpm.PLC_Base - 12/_xlpm.PLC_Eff)*_xlpm.EFLH_Cool,
IF(ISNUMBER(SEARCH("Water", C76)),
_xlpm.Tons_Cool * (_xlpm.PLC_Base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(1/_xlpm.Other_Base - 1/_xlpm.Other_Eff) * _xlpm.EFLH_Heat,
" "
)),4),
0
),
IFERROR(_xlpm.kWhCool + _xlpm.kWhHeat, "Measure Not Specified.")
), "")</f>
        <v/>
      </c>
      <c r="BG76" s="965" t="str">
        <f t="shared" ref="BG76" si="58">IF(C76&lt;&gt;"", _xlfn.LET(
_xlpm.Tons, V76, _xlpm.PCF, 0.913,
IF(AND(ISNUMBER(SEARCH("DX",C76)),ISNUMBER(SEARCH("&lt;65 kbtu",C76))),
_xlpm.Tons * (12/11.42-12/MAX(11.42,T76))*_xlpm.PCF,
IF(OR(ISNUMBER(SEARCH("DX", C76)), ISNUMBER(SEARCH("Air-Cooled Chiller", C76)), ISNUMBER(SEARCH("VRF", C76))),
_xlpm.Tons * (12/R76 - 12/T76) * _xlpm.PCF,
IF(ISNUMBER(SEARCH("Water", C76)),
_xlpm.Tons * (R76-T76) * _xlpm.PCF,
IF(ISNUMBER(SEARCH("ASHP", C76)),
_xlpm.Tons * (12/BO76 - 12/BP76) * _xlpm.PCF,
IF(OR(ISNUMBER(SEARCH("PTAC", C76)), ISNUMBER(SEARCH("PTHP", C76))),
_xlpm.Tons * (12/L76 - 12/N76) * _xlpm.PCF,
"Measure Not Specified.")))))), "")</f>
        <v/>
      </c>
      <c r="BH76" s="1004" t="str">
        <f>IFERROR(IF(AI76="per ton", ROUND(V76*AM76, 2),
IF(AND(ISNUMBER(SEARCH("Air-Cooled Chiller",C76)),AI76="$/ton/IPLV"), ROUND((12/L76-12/N76)*V76*AM76, 2),
ROUND(ABS(N76-L76)*V76*AM76, 2))), "")</f>
        <v/>
      </c>
      <c r="BI76" s="967" t="str">
        <f>IFERROR(IF(OR(C76="",N76="",V76="",AA76="",T76="",AE76="",AG76="",ISNUMBER(AR76)=FALSE,AR76=0),"",INDEX(STDHVAC_N[Measure Number],MATCH(C76,STDHVAC_N[Measure Name],0))),"Err")</f>
        <v/>
      </c>
      <c r="BJ76" s="996" t="str">
        <f>IFERROR(IF(BT76="",IF(AR76 &lt; BH76, "100% Total Cost", ""), ""), "")</f>
        <v/>
      </c>
      <c r="BK76" s="967" t="str">
        <f>IFERROR(
IF(OR(C76="",J76="",L76="",N76="",P76="",R76="",T76="",V76="",AE76="",AG76=""),
"",
IF(BT76&gt;0,"",IF(OR(AND(ISNUMBER(SEARCH("kW/ton", J76)),OR(L76&lt;N76,R76&lt;T76)),AND(NOT(ISNUMBER(SEARCH("kW/ton", J76))),OR(L76&gt;N76,R76&gt;T76))),
"Must Improve Efficiency",
IF(EXPIRATION&lt;&gt;"",PROJSTATEXP,"")))),
"")</f>
        <v/>
      </c>
      <c r="BL76" s="959" t="str">
        <f>IFERROR(INDEX(STDHVAC_N[Measure Life (Years)],MATCH(C76,STDHVAC_N[Measure Name],0)),"")</f>
        <v/>
      </c>
      <c r="BM76" s="787" t="str">
        <f>IFERROR(IF(OR(C76="",N76="",V76="",AA76="",T76="",AE76="",AG76=""),"",
ROUND(((1+ELOSS)*((BA76*INDEX(ELECCB[NPV AEC $/kWh],MATCH(BL76,ELECCB[Year Number],1)))+(BB76*INDEX(ELECCB[NPV ACC $/kW],MATCH(BL76,ELECCB[Year Number],1))))),2)),0)</f>
        <v/>
      </c>
      <c r="BN76" s="1006" t="str">
        <f>IFERROR(IF(INDEX(STDHVAC_N[Eff Unit 3],MATCH(C76,STDHVAC_N[Measure Name],0))="","",INDEX(STDHVAC_N[Eff Unit 3],MATCH(C76,STDHVAC_N[Measure Name],0))),"")</f>
        <v/>
      </c>
      <c r="BO76" s="1008" t="str">
        <f>IFERROR(IF(INDEX(STDHVAC_N[Base Efficiency 3],MATCH(C76,STDHVAC_N[Measure Name],0))="","",INDEX(STDHVAC_N[Base Efficiency 3],MATCH(C76,STDHVAC_N[Measure Name],0))),"")</f>
        <v/>
      </c>
      <c r="BP76" s="1010" t="str">
        <f>IFERROR(IF(ISNUMBER(SEARCH("Air-Cooled Chiller",$C76)),12/N76,""),"")</f>
        <v/>
      </c>
      <c r="BQ76" s="1012"/>
      <c r="BR76" s="1014" t="str">
        <f>IFERROR(IF(BI76="","",INDEX(STDHVAC_N[Reporting Methodology],MATCH(C76,STDHVAC_N[Measure Name],0))),"Err")</f>
        <v/>
      </c>
      <c r="BS76" s="787" t="str">
        <f>IFERROR(IF(OR(C76="",V76=""),"",INDEX(STDHVAC_N[Incremental Measure Cost ($/Unit)],MATCH(C76,STDHVAC_N[Measure Name],0))*V76),"Err")</f>
        <v/>
      </c>
      <c r="BT76" s="853"/>
    </row>
    <row r="77" spans="2:72" ht="15.95" customHeight="1">
      <c r="B77" s="800"/>
      <c r="C77" s="936"/>
      <c r="D77" s="937"/>
      <c r="E77" s="937"/>
      <c r="F77" s="937"/>
      <c r="G77" s="937"/>
      <c r="H77" s="937"/>
      <c r="I77" s="938"/>
      <c r="J77" s="941"/>
      <c r="K77" s="942"/>
      <c r="L77" s="944"/>
      <c r="M77" s="944"/>
      <c r="N77" s="947"/>
      <c r="O77" s="948"/>
      <c r="P77" s="941"/>
      <c r="Q77" s="942"/>
      <c r="R77" s="944"/>
      <c r="S77" s="944"/>
      <c r="T77" s="951"/>
      <c r="U77" s="952"/>
      <c r="V77" s="955"/>
      <c r="W77" s="956"/>
      <c r="X77" s="936"/>
      <c r="Y77" s="937"/>
      <c r="Z77" s="938"/>
      <c r="AA77" s="1016"/>
      <c r="AB77" s="937"/>
      <c r="AC77" s="937"/>
      <c r="AD77" s="938"/>
      <c r="AE77" s="979"/>
      <c r="AF77" s="980"/>
      <c r="AG77" s="980"/>
      <c r="AH77" s="982"/>
      <c r="AI77" s="985"/>
      <c r="AJ77" s="985"/>
      <c r="AK77" s="985"/>
      <c r="AL77" s="986"/>
      <c r="AM77" s="991"/>
      <c r="AN77" s="992"/>
      <c r="AO77" s="988"/>
      <c r="AP77" s="988"/>
      <c r="AQ77" s="988"/>
      <c r="AR77" s="970"/>
      <c r="AS77" s="970"/>
      <c r="AT77" s="970"/>
      <c r="AU77" s="970"/>
      <c r="AV77" s="21"/>
      <c r="AY77" s="972"/>
      <c r="AZ77" s="974"/>
      <c r="BA77" s="976"/>
      <c r="BB77" s="976"/>
      <c r="BC77" s="962"/>
      <c r="BD77" s="962"/>
      <c r="BE77" s="964"/>
      <c r="BF77" s="966"/>
      <c r="BG77" s="966"/>
      <c r="BH77" s="1005"/>
      <c r="BI77" s="968"/>
      <c r="BJ77" s="997"/>
      <c r="BK77" s="968"/>
      <c r="BL77" s="960"/>
      <c r="BM77" s="788"/>
      <c r="BN77" s="1007"/>
      <c r="BO77" s="1009"/>
      <c r="BP77" s="1011"/>
      <c r="BQ77" s="1013"/>
      <c r="BR77" s="849"/>
      <c r="BS77" s="788"/>
      <c r="BT77" s="854"/>
    </row>
    <row r="78" spans="2:72" ht="15.95" customHeight="1">
      <c r="B78" s="800">
        <v>31</v>
      </c>
      <c r="C78" s="993"/>
      <c r="D78" s="994"/>
      <c r="E78" s="994"/>
      <c r="F78" s="994"/>
      <c r="G78" s="994"/>
      <c r="H78" s="994"/>
      <c r="I78" s="995"/>
      <c r="J78" s="939" t="str">
        <f>IF(C78="","",INDEX(STDHVAC_N[Eff Unit 1],MATCH(C78,STDHVAC_N[Measure Name],0)))</f>
        <v/>
      </c>
      <c r="K78" s="940"/>
      <c r="L78" s="943" t="str">
        <f>IF(C78="","",INDEX(STDHVAC_N[Base Efficiency 1],MATCH(C78,STDHVAC_N[Measure Name],0)))</f>
        <v/>
      </c>
      <c r="M78" s="943"/>
      <c r="N78" s="945"/>
      <c r="O78" s="946"/>
      <c r="P78" s="939" t="str">
        <f>IF(C78="","",INDEX(STDHVAC_N[Eff Unit 2],MATCH(C78,STDHVAC_N[Measure Name],0)))</f>
        <v/>
      </c>
      <c r="Q78" s="940"/>
      <c r="R78" s="943" t="str">
        <f>IF(C78="","",INDEX(STDHVAC_N[Base Efficiency 2],MATCH(C78,STDHVAC_N[Measure Name],0)))</f>
        <v/>
      </c>
      <c r="S78" s="943"/>
      <c r="T78" s="949" t="str">
        <f t="shared" ref="T78" si="59">IF(AND(ISNUMBER(SEARCH("DX",C78)),ISNUMBER(SEARCH("&lt;65 kbtu",C78)),N78&lt;&gt;""),1.12*N78-0.02*N78^2,IF(ISNUMBER(SEARCH("PTAC",C78)),1,""))</f>
        <v/>
      </c>
      <c r="U78" s="950"/>
      <c r="V78" s="955"/>
      <c r="W78" s="956"/>
      <c r="X78" s="993"/>
      <c r="Y78" s="994"/>
      <c r="Z78" s="995"/>
      <c r="AA78" s="1015"/>
      <c r="AB78" s="889"/>
      <c r="AC78" s="889"/>
      <c r="AD78" s="935"/>
      <c r="AE78" s="979"/>
      <c r="AF78" s="980"/>
      <c r="AG78" s="980"/>
      <c r="AH78" s="982"/>
      <c r="AI78" s="985" t="str">
        <f>IF(C78="","",INDEX(STDHVAC_N[Current Unit],MATCH(C78,STDHVAC_N[Measure Name],0)))</f>
        <v/>
      </c>
      <c r="AJ78" s="985"/>
      <c r="AK78" s="985"/>
      <c r="AL78" s="986"/>
      <c r="AM78" s="998" t="str">
        <f>IFERROR(IF(C78="","",INDEX(IF(AND(ACTIVEBONUS_N = TRUE,INDEX(STDHVAC_N[Bonus Incentive],MATCH(C78,STDHVAC_N[Measure Name],0))&lt;&gt; ""),STDHVAC_N[Bonus Incentive],STDHVAC_N[Base Incentive]),MATCH(C78,STDHVAC_N[Measure Name],0))),"")</f>
        <v/>
      </c>
      <c r="AN78" s="999"/>
      <c r="AO78" s="987" t="str">
        <f>IFERROR(IF(OR(C78="",N78="",V78="",AA78="",T78="",AE78="",AG78=""),"",BF78),"")</f>
        <v/>
      </c>
      <c r="AP78" s="987"/>
      <c r="AQ78" s="987"/>
      <c r="AR78" s="969" t="str">
        <f>IFERROR(IF(OR(C78="",N78="",V78="",AA78="",T78="",AE78="",AG78=""),"",IF(BK78&lt;&gt;"",BK78,IF(BT78&gt;0,BT78,ROUND(IF(AO78&lt;=0,0,MIN(AY78,BH78)), 2)))), "")</f>
        <v/>
      </c>
      <c r="AS78" s="969"/>
      <c r="AT78" s="969"/>
      <c r="AU78" s="969"/>
      <c r="AV78" s="21"/>
      <c r="AY78" s="971" t="str">
        <f>IF(OR(C78="",N78="",V78="",AA78="",T78="",AE78="",AG78=""),"",IF(AO78=0,"",ROUND(AE78+AG78,2)))</f>
        <v/>
      </c>
      <c r="AZ78" s="973" t="str">
        <f>IFERROR(IF(OR(C78="",N78="",V78="",AA78="",T78="",AE78="",AG78=""),"",INDEX(STDHVAC_N[Current Unit],MATCH(C78,STDHVAC_N[Measure Name],0))),"Err")</f>
        <v/>
      </c>
      <c r="BA78" s="975" t="str">
        <f>IF(
OR(C78="",N78="",T78="",V78="",AA78="",AE78="",AG78=""),"",
IF(OR(ISNUMBER(SEARCH("PTAC",C78)),ISNUMBER(SEARCH("PTHP",C78))),
ROUND(V78*INDEX(STDHVAC_N[Electric Energy Savings (Annual kWh/unit)],MATCH(C78,#REF!,0)),4),
ROUND(V78*ABS(N78-L78)*INDEX(STDHVAC_N[Electric Energy Savings (Annual kWh/unit)],MATCH(C78,STDHVAC_N[Measure Name],0)),4)
))</f>
        <v/>
      </c>
      <c r="BB78" s="975" t="str">
        <f>IF(
OR(C78="",N78="",T78="",V78="",AA78="",AE78="",AG78=""),"",
IF(OR(ISNUMBER(SEARCH("PTAC",C78)),ISNUMBER(SEARCH("PTHP",C78))),
ROUND(V78*INDEX(STDHVAC_N[Coincident Peak Demand Savings (kW/unit)],MATCH(C78,STDHVAC_N[Measure Name],0)),4),
ROUND(V78*ABS(N78-L78)*INDEX(STDHVAC_N[Coincident Peak Demand Savings (kW/unit)],MATCH(C78,STDHVAC_N[Measure Name],0)),4)
))</f>
        <v/>
      </c>
      <c r="BC78" s="962"/>
      <c r="BD78" s="962"/>
      <c r="BE78" s="963" t="str">
        <f>IFERROR(IF(OR(C78="",N78="",V78="",AA78="",T78="",AE78="",AG78=""),"",INDEX(STDHVAC_N[End Use],MATCH(C78,STDHVAC_N[Measure Name],0))),"Err")</f>
        <v/>
      </c>
      <c r="BF78" s="965" t="str">
        <f>IF(C78&lt;&gt;"", _xlfn.LET(
_xlpm.Tons_Cool, V78, _xlpm.PLC_Base, L78, _xlpm.PLC_Eff, N78, _xlpm.Tons_Heat, BQ78, _xlpm.Other_Base, R78, _xlpm.Other_Eff, T78,
_xlpm.EFLH_Cool,
INDEX(STDHVAC_N[EFLHcool],MATCH(C78,STDHVAC_N[Measure Name],0)),
_xlpm.EFLH_Heat,
INDEX(STDHVAC_N[EFLHheat],MATCH(C78,STDHVAC_N[Measure Name],0)),
_xlpm.ElecHeat,
INDEX(SPACEHEAT[ELECHEAT],MATCH(N02S03F29,SPACEHEAT[Space Conditioning],0)),
_xlpm.kWhCool,
ROUND(
IF(OR(ISNUMBER(SEARCH("DX", C78)),ISNUMBER(SEARCH("ASHP", C78)), ISNUMBER(SEARCH("PTAC", C78)), ISNUMBER(SEARCH("PTHP", C78)), ISNUMBER(SEARCH("Air-Cooled Chiller", C78)), ISNUMBER(SEARCH("VRF", C78))),
_xlpm.Tons_Cool * (12/_xlpm.PLC_Base - 12/_xlpm.PLC_Eff)*_xlpm.EFLH_Cool,
IF(ISNUMBER(SEARCH("Water", C78)),
_xlpm.Tons_Cool * (_xlpm.PLC_Base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(1/_xlpm.Other_Base - 1/_xlpm.Other_Eff) * _xlpm.EFLH_Heat,
" "
)),4),
0
),
IFERROR(_xlpm.kWhCool + _xlpm.kWhHeat, "Measure Not Specified.")
), "")</f>
        <v/>
      </c>
      <c r="BG78" s="965" t="str">
        <f t="shared" ref="BG78" si="60">IF(C78&lt;&gt;"", _xlfn.LET(
_xlpm.Tons, V78, _xlpm.PCF, 0.913,
IF(AND(ISNUMBER(SEARCH("DX",C78)),ISNUMBER(SEARCH("&lt;65 kbtu",C78))),
_xlpm.Tons * (12/11.42-12/MAX(11.42,T78))*_xlpm.PCF,
IF(OR(ISNUMBER(SEARCH("DX", C78)), ISNUMBER(SEARCH("Air-Cooled Chiller", C78)), ISNUMBER(SEARCH("VRF", C78))),
_xlpm.Tons * (12/R78 - 12/T78) * _xlpm.PCF,
IF(ISNUMBER(SEARCH("Water", C78)),
_xlpm.Tons * (R78-T78) * _xlpm.PCF,
IF(ISNUMBER(SEARCH("ASHP", C78)),
_xlpm.Tons * (12/BO78 - 12/BP78) * _xlpm.PCF,
IF(OR(ISNUMBER(SEARCH("PTAC", C78)), ISNUMBER(SEARCH("PTHP", C78))),
_xlpm.Tons * (12/L78 - 12/N78) * _xlpm.PCF,
"Measure Not Specified.")))))), "")</f>
        <v/>
      </c>
      <c r="BH78" s="1004" t="str">
        <f>IFERROR(IF(AI78="per ton", ROUND(V78*AM78, 2),
IF(AND(ISNUMBER(SEARCH("Air-Cooled Chiller",C78)),AI78="$/ton/IPLV"), ROUND((12/L78-12/N78)*V78*AM78, 2),
ROUND(ABS(N78-L78)*V78*AM78, 2))), "")</f>
        <v/>
      </c>
      <c r="BI78" s="967" t="str">
        <f>IFERROR(IF(OR(C78="",N78="",V78="",AA78="",T78="",AE78="",AG78="",ISNUMBER(AR78)=FALSE,AR78=0),"",INDEX(STDHVAC_N[Measure Number],MATCH(C78,STDHVAC_N[Measure Name],0))),"Err")</f>
        <v/>
      </c>
      <c r="BJ78" s="996" t="str">
        <f>IFERROR(IF(BT78="",IF(AR78 &lt; BH78, "100% Total Cost", ""), ""), "")</f>
        <v/>
      </c>
      <c r="BK78" s="967" t="str">
        <f>IFERROR(
IF(OR(C78="",J78="",L78="",N78="",P78="",R78="",T78="",V78="",AE78="",AG78=""),
"",
IF(BT78&gt;0,"",IF(OR(AND(ISNUMBER(SEARCH("kW/ton", J78)),OR(L78&lt;N78,R78&lt;T78)),AND(NOT(ISNUMBER(SEARCH("kW/ton", J78))),OR(L78&gt;N78,R78&gt;T78))),
"Must Improve Efficiency",
IF(EXPIRATION&lt;&gt;"",PROJSTATEXP,"")))),
"")</f>
        <v/>
      </c>
      <c r="BL78" s="959" t="str">
        <f>IFERROR(INDEX(STDHVAC_N[Measure Life (Years)],MATCH(C78,STDHVAC_N[Measure Name],0)),"")</f>
        <v/>
      </c>
      <c r="BM78" s="787" t="str">
        <f>IFERROR(IF(OR(C78="",N78="",V78="",AA78="",T78="",AE78="",AG78=""),"",
ROUND(((1+ELOSS)*((BA78*INDEX(ELECCB[NPV AEC $/kWh],MATCH(BL78,ELECCB[Year Number],1)))+(BB78*INDEX(ELECCB[NPV ACC $/kW],MATCH(BL78,ELECCB[Year Number],1))))),2)),0)</f>
        <v/>
      </c>
      <c r="BN78" s="1006" t="str">
        <f>IFERROR(IF(INDEX(STDHVAC_N[Eff Unit 3],MATCH(C78,STDHVAC_N[Measure Name],0))="","",INDEX(STDHVAC_N[Eff Unit 3],MATCH(C78,STDHVAC_N[Measure Name],0))),"")</f>
        <v/>
      </c>
      <c r="BO78" s="1008" t="str">
        <f>IFERROR(IF(INDEX(STDHVAC_N[Base Efficiency 3],MATCH(C78,STDHVAC_N[Measure Name],0))="","",INDEX(STDHVAC_N[Base Efficiency 3],MATCH(C78,STDHVAC_N[Measure Name],0))),"")</f>
        <v/>
      </c>
      <c r="BP78" s="1010" t="str">
        <f>IFERROR(IF(ISNUMBER(SEARCH("Air-Cooled Chiller",$C78)),12/N78,""),"")</f>
        <v/>
      </c>
      <c r="BQ78" s="1012"/>
      <c r="BR78" s="1014" t="str">
        <f>IFERROR(IF(BI78="","",INDEX(STDHVAC_N[Reporting Methodology],MATCH(C78,STDHVAC_N[Measure Name],0))),"Err")</f>
        <v/>
      </c>
      <c r="BS78" s="787" t="str">
        <f>IFERROR(IF(OR(C78="",V78=""),"",INDEX(STDHVAC_N[Incremental Measure Cost ($/Unit)],MATCH(C78,STDHVAC_N[Measure Name],0))*V78),"Err")</f>
        <v/>
      </c>
      <c r="BT78" s="853"/>
    </row>
    <row r="79" spans="2:72" ht="15.95" customHeight="1">
      <c r="B79" s="800"/>
      <c r="C79" s="936"/>
      <c r="D79" s="937"/>
      <c r="E79" s="937"/>
      <c r="F79" s="937"/>
      <c r="G79" s="937"/>
      <c r="H79" s="937"/>
      <c r="I79" s="938"/>
      <c r="J79" s="941"/>
      <c r="K79" s="942"/>
      <c r="L79" s="944"/>
      <c r="M79" s="944"/>
      <c r="N79" s="947"/>
      <c r="O79" s="948"/>
      <c r="P79" s="941"/>
      <c r="Q79" s="942"/>
      <c r="R79" s="944"/>
      <c r="S79" s="944"/>
      <c r="T79" s="951"/>
      <c r="U79" s="952"/>
      <c r="V79" s="955"/>
      <c r="W79" s="956"/>
      <c r="X79" s="936"/>
      <c r="Y79" s="937"/>
      <c r="Z79" s="938"/>
      <c r="AA79" s="1016"/>
      <c r="AB79" s="937"/>
      <c r="AC79" s="937"/>
      <c r="AD79" s="938"/>
      <c r="AE79" s="979"/>
      <c r="AF79" s="980"/>
      <c r="AG79" s="980"/>
      <c r="AH79" s="982"/>
      <c r="AI79" s="985"/>
      <c r="AJ79" s="985"/>
      <c r="AK79" s="985"/>
      <c r="AL79" s="986"/>
      <c r="AM79" s="991"/>
      <c r="AN79" s="992"/>
      <c r="AO79" s="988"/>
      <c r="AP79" s="988"/>
      <c r="AQ79" s="988"/>
      <c r="AR79" s="970"/>
      <c r="AS79" s="970"/>
      <c r="AT79" s="970"/>
      <c r="AU79" s="970"/>
      <c r="AV79" s="21"/>
      <c r="AY79" s="972"/>
      <c r="AZ79" s="974"/>
      <c r="BA79" s="976"/>
      <c r="BB79" s="976"/>
      <c r="BC79" s="962"/>
      <c r="BD79" s="962"/>
      <c r="BE79" s="964"/>
      <c r="BF79" s="966"/>
      <c r="BG79" s="966"/>
      <c r="BH79" s="1005"/>
      <c r="BI79" s="968"/>
      <c r="BJ79" s="997"/>
      <c r="BK79" s="968"/>
      <c r="BL79" s="960"/>
      <c r="BM79" s="788"/>
      <c r="BN79" s="1007"/>
      <c r="BO79" s="1009"/>
      <c r="BP79" s="1011"/>
      <c r="BQ79" s="1013"/>
      <c r="BR79" s="849"/>
      <c r="BS79" s="788"/>
      <c r="BT79" s="854"/>
    </row>
    <row r="80" spans="2:72" ht="15.95" customHeight="1">
      <c r="B80" s="800">
        <v>32</v>
      </c>
      <c r="C80" s="993"/>
      <c r="D80" s="994"/>
      <c r="E80" s="994"/>
      <c r="F80" s="994"/>
      <c r="G80" s="994"/>
      <c r="H80" s="994"/>
      <c r="I80" s="995"/>
      <c r="J80" s="939" t="str">
        <f>IF(C80="","",INDEX(STDHVAC_N[Eff Unit 1],MATCH(C80,STDHVAC_N[Measure Name],0)))</f>
        <v/>
      </c>
      <c r="K80" s="940"/>
      <c r="L80" s="943" t="str">
        <f>IF(C80="","",INDEX(STDHVAC_N[Base Efficiency 1],MATCH(C80,STDHVAC_N[Measure Name],0)))</f>
        <v/>
      </c>
      <c r="M80" s="943"/>
      <c r="N80" s="945"/>
      <c r="O80" s="946"/>
      <c r="P80" s="939" t="str">
        <f>IF(C80="","",INDEX(STDHVAC_N[Eff Unit 2],MATCH(C80,STDHVAC_N[Measure Name],0)))</f>
        <v/>
      </c>
      <c r="Q80" s="940"/>
      <c r="R80" s="943" t="str">
        <f>IF(C80="","",INDEX(STDHVAC_N[Base Efficiency 2],MATCH(C80,STDHVAC_N[Measure Name],0)))</f>
        <v/>
      </c>
      <c r="S80" s="943"/>
      <c r="T80" s="949" t="str">
        <f t="shared" ref="T80" si="61">IF(AND(ISNUMBER(SEARCH("DX",C80)),ISNUMBER(SEARCH("&lt;65 kbtu",C80)),N80&lt;&gt;""),1.12*N80-0.02*N80^2,IF(ISNUMBER(SEARCH("PTAC",C80)),1,""))</f>
        <v/>
      </c>
      <c r="U80" s="950"/>
      <c r="V80" s="955"/>
      <c r="W80" s="956"/>
      <c r="X80" s="993"/>
      <c r="Y80" s="994"/>
      <c r="Z80" s="995"/>
      <c r="AA80" s="1015"/>
      <c r="AB80" s="889"/>
      <c r="AC80" s="889"/>
      <c r="AD80" s="935"/>
      <c r="AE80" s="979"/>
      <c r="AF80" s="980"/>
      <c r="AG80" s="980"/>
      <c r="AH80" s="982"/>
      <c r="AI80" s="985" t="str">
        <f>IF(C80="","",INDEX(STDHVAC_N[Current Unit],MATCH(C80,STDHVAC_N[Measure Name],0)))</f>
        <v/>
      </c>
      <c r="AJ80" s="985"/>
      <c r="AK80" s="985"/>
      <c r="AL80" s="986"/>
      <c r="AM80" s="998" t="str">
        <f>IFERROR(IF(C80="","",INDEX(IF(AND(ACTIVEBONUS_N = TRUE,INDEX(STDHVAC_N[Bonus Incentive],MATCH(C80,STDHVAC_N[Measure Name],0))&lt;&gt; ""),STDHVAC_N[Bonus Incentive],STDHVAC_N[Base Incentive]),MATCH(C80,STDHVAC_N[Measure Name],0))),"")</f>
        <v/>
      </c>
      <c r="AN80" s="999"/>
      <c r="AO80" s="987" t="str">
        <f>IFERROR(IF(OR(C80="",N80="",V80="",AA80="",T80="",AE80="",AG80=""),"",BF80),"")</f>
        <v/>
      </c>
      <c r="AP80" s="987"/>
      <c r="AQ80" s="987"/>
      <c r="AR80" s="969" t="str">
        <f>IFERROR(IF(OR(C80="",N80="",V80="",AA80="",T80="",AE80="",AG80=""),"",IF(BK80&lt;&gt;"",BK80,IF(BT80&gt;0,BT80,ROUND(IF(AO80&lt;=0,0,MIN(AY80,BH80)), 2)))), "")</f>
        <v/>
      </c>
      <c r="AS80" s="969"/>
      <c r="AT80" s="969"/>
      <c r="AU80" s="969"/>
      <c r="AV80" s="21"/>
      <c r="AY80" s="971" t="str">
        <f>IF(OR(C80="",N80="",V80="",AA80="",T80="",AE80="",AG80=""),"",IF(AO80=0,"",ROUND(AE80+AG80,2)))</f>
        <v/>
      </c>
      <c r="AZ80" s="973" t="str">
        <f>IFERROR(IF(OR(C80="",N80="",V80="",AA80="",T80="",AE80="",AG80=""),"",INDEX(STDHVAC_N[Current Unit],MATCH(C80,STDHVAC_N[Measure Name],0))),"Err")</f>
        <v/>
      </c>
      <c r="BA80" s="975" t="str">
        <f>IF(
OR(C80="",N80="",T80="",V80="",AA80="",AE80="",AG80=""),"",
IF(OR(ISNUMBER(SEARCH("PTAC",C80)),ISNUMBER(SEARCH("PTHP",C80))),
ROUND(V80*INDEX(STDHVAC_N[Electric Energy Savings (Annual kWh/unit)],MATCH(C80,#REF!,0)),4),
ROUND(V80*ABS(N80-L80)*INDEX(STDHVAC_N[Electric Energy Savings (Annual kWh/unit)],MATCH(C80,STDHVAC_N[Measure Name],0)),4)
))</f>
        <v/>
      </c>
      <c r="BB80" s="975" t="str">
        <f>IF(
OR(C80="",N80="",T80="",V80="",AA80="",AE80="",AG80=""),"",
IF(OR(ISNUMBER(SEARCH("PTAC",C80)),ISNUMBER(SEARCH("PTHP",C80))),
ROUND(V80*INDEX(STDHVAC_N[Coincident Peak Demand Savings (kW/unit)],MATCH(C80,STDHVAC_N[Measure Name],0)),4),
ROUND(V80*ABS(N80-L80)*INDEX(STDHVAC_N[Coincident Peak Demand Savings (kW/unit)],MATCH(C80,STDHVAC_N[Measure Name],0)),4)
))</f>
        <v/>
      </c>
      <c r="BC80" s="962"/>
      <c r="BD80" s="962"/>
      <c r="BE80" s="963" t="str">
        <f>IFERROR(IF(OR(C80="",N80="",V80="",AA80="",T80="",AE80="",AG80=""),"",INDEX(STDHVAC_N[End Use],MATCH(C80,STDHVAC_N[Measure Name],0))),"Err")</f>
        <v/>
      </c>
      <c r="BF80" s="965" t="str">
        <f>IF(C80&lt;&gt;"", _xlfn.LET(
_xlpm.Tons_Cool, V80, _xlpm.PLC_Base, L80, _xlpm.PLC_Eff, N80, _xlpm.Tons_Heat, BQ80, _xlpm.Other_Base, R80, _xlpm.Other_Eff, T80,
_xlpm.EFLH_Cool,
INDEX(STDHVAC_N[EFLHcool],MATCH(C80,STDHVAC_N[Measure Name],0)),
_xlpm.EFLH_Heat,
INDEX(STDHVAC_N[EFLHheat],MATCH(C80,STDHVAC_N[Measure Name],0)),
_xlpm.ElecHeat,
INDEX(SPACEHEAT[ELECHEAT],MATCH(N02S03F29,SPACEHEAT[Space Conditioning],0)),
_xlpm.kWhCool,
ROUND(
IF(OR(ISNUMBER(SEARCH("DX", C80)),ISNUMBER(SEARCH("ASHP", C80)), ISNUMBER(SEARCH("PTAC", C80)), ISNUMBER(SEARCH("PTHP", C80)), ISNUMBER(SEARCH("Air-Cooled Chiller", C80)), ISNUMBER(SEARCH("VRF", C80))),
_xlpm.Tons_Cool * (12/_xlpm.PLC_Base - 12/_xlpm.PLC_Eff)*_xlpm.EFLH_Cool,
IF(ISNUMBER(SEARCH("Water", C80)),
_xlpm.Tons_Cool * (_xlpm.PLC_Base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(1/_xlpm.Other_Base - 1/_xlpm.Other_Eff) * _xlpm.EFLH_Heat,
" "
)),4),
0
),
IFERROR(_xlpm.kWhCool + _xlpm.kWhHeat, "Measure Not Specified.")
), "")</f>
        <v/>
      </c>
      <c r="BG80" s="965" t="str">
        <f t="shared" ref="BG80" si="62">IF(C80&lt;&gt;"", _xlfn.LET(
_xlpm.Tons, V80, _xlpm.PCF, 0.913,
IF(AND(ISNUMBER(SEARCH("DX",C80)),ISNUMBER(SEARCH("&lt;65 kbtu",C80))),
_xlpm.Tons * (12/11.42-12/MAX(11.42,T80))*_xlpm.PCF,
IF(OR(ISNUMBER(SEARCH("DX", C80)), ISNUMBER(SEARCH("Air-Cooled Chiller", C80)), ISNUMBER(SEARCH("VRF", C80))),
_xlpm.Tons * (12/R80 - 12/T80) * _xlpm.PCF,
IF(ISNUMBER(SEARCH("Water", C80)),
_xlpm.Tons * (R80-T80) * _xlpm.PCF,
IF(ISNUMBER(SEARCH("ASHP", C80)),
_xlpm.Tons * (12/BO80 - 12/BP80) * _xlpm.PCF,
IF(OR(ISNUMBER(SEARCH("PTAC", C80)), ISNUMBER(SEARCH("PTHP", C80))),
_xlpm.Tons * (12/L80 - 12/N80) * _xlpm.PCF,
"Measure Not Specified.")))))), "")</f>
        <v/>
      </c>
      <c r="BH80" s="1004" t="str">
        <f>IFERROR(IF(AI80="per ton", ROUND(V80*AM80, 2),
IF(AND(ISNUMBER(SEARCH("Air-Cooled Chiller",C80)),AI80="$/ton/IPLV"), ROUND((12/L80-12/N80)*V80*AM80, 2),
ROUND(ABS(N80-L80)*V80*AM80, 2))), "")</f>
        <v/>
      </c>
      <c r="BI80" s="967" t="str">
        <f>IFERROR(IF(OR(C80="",N80="",V80="",AA80="",T80="",AE80="",AG80="",ISNUMBER(AR80)=FALSE,AR80=0),"",INDEX(STDHVAC_N[Measure Number],MATCH(C80,STDHVAC_N[Measure Name],0))),"Err")</f>
        <v/>
      </c>
      <c r="BJ80" s="996" t="str">
        <f>IFERROR(IF(BT80="",IF(AR80 &lt; BH80, "100% Total Cost", ""), ""), "")</f>
        <v/>
      </c>
      <c r="BK80" s="967" t="str">
        <f>IFERROR(
IF(OR(C80="",J80="",L80="",N80="",P80="",R80="",T80="",V80="",AE80="",AG80=""),
"",
IF(BT80&gt;0,"",IF(OR(AND(ISNUMBER(SEARCH("kW/ton", J80)),OR(L80&lt;N80,R80&lt;T80)),AND(NOT(ISNUMBER(SEARCH("kW/ton", J80))),OR(L80&gt;N80,R80&gt;T80))),
"Must Improve Efficiency",
IF(EXPIRATION&lt;&gt;"",PROJSTATEXP,"")))),
"")</f>
        <v/>
      </c>
      <c r="BL80" s="959" t="str">
        <f>IFERROR(INDEX(STDHVAC_N[Measure Life (Years)],MATCH(C80,STDHVAC_N[Measure Name],0)),"")</f>
        <v/>
      </c>
      <c r="BM80" s="787" t="str">
        <f>IFERROR(IF(OR(C80="",N80="",V80="",AA80="",T80="",AE80="",AG80=""),"",
ROUND(((1+ELOSS)*((BA80*INDEX(ELECCB[NPV AEC $/kWh],MATCH(BL80,ELECCB[Year Number],1)))+(BB80*INDEX(ELECCB[NPV ACC $/kW],MATCH(BL80,ELECCB[Year Number],1))))),2)),0)</f>
        <v/>
      </c>
      <c r="BN80" s="1006" t="str">
        <f>IFERROR(IF(INDEX(STDHVAC_N[Eff Unit 3],MATCH(C80,STDHVAC_N[Measure Name],0))="","",INDEX(STDHVAC_N[Eff Unit 3],MATCH(C80,STDHVAC_N[Measure Name],0))),"")</f>
        <v/>
      </c>
      <c r="BO80" s="1008" t="str">
        <f>IFERROR(IF(INDEX(STDHVAC_N[Base Efficiency 3],MATCH(C80,STDHVAC_N[Measure Name],0))="","",INDEX(STDHVAC_N[Base Efficiency 3],MATCH(C80,STDHVAC_N[Measure Name],0))),"")</f>
        <v/>
      </c>
      <c r="BP80" s="1010" t="str">
        <f>IFERROR(IF(ISNUMBER(SEARCH("Air-Cooled Chiller",$C80)),12/N80,""),"")</f>
        <v/>
      </c>
      <c r="BQ80" s="1012"/>
      <c r="BR80" s="1014" t="str">
        <f>IFERROR(IF(BI80="","",INDEX(STDHVAC_N[Reporting Methodology],MATCH(C80,STDHVAC_N[Measure Name],0))),"Err")</f>
        <v/>
      </c>
      <c r="BS80" s="787" t="str">
        <f>IFERROR(IF(OR(C80="",V80=""),"",INDEX(STDHVAC_N[Incremental Measure Cost ($/Unit)],MATCH(C80,STDHVAC_N[Measure Name],0))*V80),"Err")</f>
        <v/>
      </c>
      <c r="BT80" s="853"/>
    </row>
    <row r="81" spans="2:72" ht="15.95" customHeight="1">
      <c r="B81" s="800"/>
      <c r="C81" s="936"/>
      <c r="D81" s="937"/>
      <c r="E81" s="937"/>
      <c r="F81" s="937"/>
      <c r="G81" s="937"/>
      <c r="H81" s="937"/>
      <c r="I81" s="938"/>
      <c r="J81" s="941"/>
      <c r="K81" s="942"/>
      <c r="L81" s="944"/>
      <c r="M81" s="944"/>
      <c r="N81" s="947"/>
      <c r="O81" s="948"/>
      <c r="P81" s="941"/>
      <c r="Q81" s="942"/>
      <c r="R81" s="944"/>
      <c r="S81" s="944"/>
      <c r="T81" s="951"/>
      <c r="U81" s="952"/>
      <c r="V81" s="955"/>
      <c r="W81" s="956"/>
      <c r="X81" s="936"/>
      <c r="Y81" s="937"/>
      <c r="Z81" s="938"/>
      <c r="AA81" s="1016"/>
      <c r="AB81" s="937"/>
      <c r="AC81" s="937"/>
      <c r="AD81" s="938"/>
      <c r="AE81" s="979"/>
      <c r="AF81" s="980"/>
      <c r="AG81" s="980"/>
      <c r="AH81" s="982"/>
      <c r="AI81" s="985"/>
      <c r="AJ81" s="985"/>
      <c r="AK81" s="985"/>
      <c r="AL81" s="986"/>
      <c r="AM81" s="991"/>
      <c r="AN81" s="992"/>
      <c r="AO81" s="988"/>
      <c r="AP81" s="988"/>
      <c r="AQ81" s="988"/>
      <c r="AR81" s="970"/>
      <c r="AS81" s="970"/>
      <c r="AT81" s="970"/>
      <c r="AU81" s="970"/>
      <c r="AV81" s="21"/>
      <c r="AY81" s="972"/>
      <c r="AZ81" s="974"/>
      <c r="BA81" s="976"/>
      <c r="BB81" s="976"/>
      <c r="BC81" s="962"/>
      <c r="BD81" s="962"/>
      <c r="BE81" s="964"/>
      <c r="BF81" s="966"/>
      <c r="BG81" s="966"/>
      <c r="BH81" s="1005"/>
      <c r="BI81" s="968"/>
      <c r="BJ81" s="997"/>
      <c r="BK81" s="968"/>
      <c r="BL81" s="960"/>
      <c r="BM81" s="788"/>
      <c r="BN81" s="1007"/>
      <c r="BO81" s="1009"/>
      <c r="BP81" s="1011"/>
      <c r="BQ81" s="1013"/>
      <c r="BR81" s="849"/>
      <c r="BS81" s="788"/>
      <c r="BT81" s="854"/>
    </row>
    <row r="82" spans="2:72" ht="15.95" customHeight="1">
      <c r="B82" s="800">
        <v>33</v>
      </c>
      <c r="C82" s="993"/>
      <c r="D82" s="994"/>
      <c r="E82" s="994"/>
      <c r="F82" s="994"/>
      <c r="G82" s="994"/>
      <c r="H82" s="994"/>
      <c r="I82" s="995"/>
      <c r="J82" s="939" t="str">
        <f>IF(C82="","",INDEX(STDHVAC_N[Eff Unit 1],MATCH(C82,STDHVAC_N[Measure Name],0)))</f>
        <v/>
      </c>
      <c r="K82" s="940"/>
      <c r="L82" s="943" t="str">
        <f>IF(C82="","",INDEX(STDHVAC_N[Base Efficiency 1],MATCH(C82,STDHVAC_N[Measure Name],0)))</f>
        <v/>
      </c>
      <c r="M82" s="943"/>
      <c r="N82" s="945"/>
      <c r="O82" s="946"/>
      <c r="P82" s="939" t="str">
        <f>IF(C82="","",INDEX(STDHVAC_N[Eff Unit 2],MATCH(C82,STDHVAC_N[Measure Name],0)))</f>
        <v/>
      </c>
      <c r="Q82" s="940"/>
      <c r="R82" s="943" t="str">
        <f>IF(C82="","",INDEX(STDHVAC_N[Base Efficiency 2],MATCH(C82,STDHVAC_N[Measure Name],0)))</f>
        <v/>
      </c>
      <c r="S82" s="943"/>
      <c r="T82" s="949" t="str">
        <f t="shared" ref="T82" si="63">IF(AND(ISNUMBER(SEARCH("DX",C82)),ISNUMBER(SEARCH("&lt;65 kbtu",C82)),N82&lt;&gt;""),1.12*N82-0.02*N82^2,IF(ISNUMBER(SEARCH("PTAC",C82)),1,""))</f>
        <v/>
      </c>
      <c r="U82" s="950"/>
      <c r="V82" s="955"/>
      <c r="W82" s="956"/>
      <c r="X82" s="993"/>
      <c r="Y82" s="994"/>
      <c r="Z82" s="995"/>
      <c r="AA82" s="1015"/>
      <c r="AB82" s="889"/>
      <c r="AC82" s="889"/>
      <c r="AD82" s="935"/>
      <c r="AE82" s="979"/>
      <c r="AF82" s="980"/>
      <c r="AG82" s="980"/>
      <c r="AH82" s="982"/>
      <c r="AI82" s="985" t="str">
        <f>IF(C82="","",INDEX(STDHVAC_N[Current Unit],MATCH(C82,STDHVAC_N[Measure Name],0)))</f>
        <v/>
      </c>
      <c r="AJ82" s="985"/>
      <c r="AK82" s="985"/>
      <c r="AL82" s="986"/>
      <c r="AM82" s="998" t="str">
        <f>IFERROR(IF(C82="","",INDEX(IF(AND(ACTIVEBONUS_N = TRUE,INDEX(STDHVAC_N[Bonus Incentive],MATCH(C82,STDHVAC_N[Measure Name],0))&lt;&gt; ""),STDHVAC_N[Bonus Incentive],STDHVAC_N[Base Incentive]),MATCH(C82,STDHVAC_N[Measure Name],0))),"")</f>
        <v/>
      </c>
      <c r="AN82" s="999"/>
      <c r="AO82" s="987" t="str">
        <f>IFERROR(IF(OR(C82="",N82="",V82="",AA82="",T82="",AE82="",AG82=""),"",BF82),"")</f>
        <v/>
      </c>
      <c r="AP82" s="987"/>
      <c r="AQ82" s="987"/>
      <c r="AR82" s="969" t="str">
        <f>IFERROR(IF(OR(C82="",N82="",V82="",AA82="",T82="",AE82="",AG82=""),"",IF(BK82&lt;&gt;"",BK82,IF(BT82&gt;0,BT82,ROUND(IF(AO82&lt;=0,0,MIN(AY82,BH82)), 2)))), "")</f>
        <v/>
      </c>
      <c r="AS82" s="969"/>
      <c r="AT82" s="969"/>
      <c r="AU82" s="969"/>
      <c r="AV82" s="21"/>
      <c r="AY82" s="971" t="str">
        <f>IF(OR(C82="",N82="",V82="",AA82="",T82="",AE82="",AG82=""),"",IF(AO82=0,"",ROUND(AE82+AG82,2)))</f>
        <v/>
      </c>
      <c r="AZ82" s="973" t="str">
        <f>IFERROR(IF(OR(C82="",N82="",V82="",AA82="",T82="",AE82="",AG82=""),"",INDEX(STDHVAC_N[Current Unit],MATCH(C82,STDHVAC_N[Measure Name],0))),"Err")</f>
        <v/>
      </c>
      <c r="BA82" s="975" t="str">
        <f>IF(
OR(C82="",N82="",T82="",V82="",AA82="",AE82="",AG82=""),"",
IF(OR(ISNUMBER(SEARCH("PTAC",C82)),ISNUMBER(SEARCH("PTHP",C82))),
ROUND(V82*INDEX(STDHVAC_N[Electric Energy Savings (Annual kWh/unit)],MATCH(C82,#REF!,0)),4),
ROUND(V82*ABS(N82-L82)*INDEX(STDHVAC_N[Electric Energy Savings (Annual kWh/unit)],MATCH(C82,STDHVAC_N[Measure Name],0)),4)
))</f>
        <v/>
      </c>
      <c r="BB82" s="975" t="str">
        <f>IF(
OR(C82="",N82="",T82="",V82="",AA82="",AE82="",AG82=""),"",
IF(OR(ISNUMBER(SEARCH("PTAC",C82)),ISNUMBER(SEARCH("PTHP",C82))),
ROUND(V82*INDEX(STDHVAC_N[Coincident Peak Demand Savings (kW/unit)],MATCH(C82,STDHVAC_N[Measure Name],0)),4),
ROUND(V82*ABS(N82-L82)*INDEX(STDHVAC_N[Coincident Peak Demand Savings (kW/unit)],MATCH(C82,STDHVAC_N[Measure Name],0)),4)
))</f>
        <v/>
      </c>
      <c r="BC82" s="962"/>
      <c r="BD82" s="962"/>
      <c r="BE82" s="963" t="str">
        <f>IFERROR(IF(OR(C82="",N82="",V82="",AA82="",T82="",AE82="",AG82=""),"",INDEX(STDHVAC_N[End Use],MATCH(C82,STDHVAC_N[Measure Name],0))),"Err")</f>
        <v/>
      </c>
      <c r="BF82" s="965" t="str">
        <f>IF(C82&lt;&gt;"", _xlfn.LET(
_xlpm.Tons_Cool, V82, _xlpm.PLC_Base, L82, _xlpm.PLC_Eff, N82, _xlpm.Tons_Heat, BQ82, _xlpm.Other_Base, R82, _xlpm.Other_Eff, T82,
_xlpm.EFLH_Cool,
INDEX(STDHVAC_N[EFLHcool],MATCH(C82,STDHVAC_N[Measure Name],0)),
_xlpm.EFLH_Heat,
INDEX(STDHVAC_N[EFLHheat],MATCH(C82,STDHVAC_N[Measure Name],0)),
_xlpm.ElecHeat,
INDEX(SPACEHEAT[ELECHEAT],MATCH(N02S03F29,SPACEHEAT[Space Conditioning],0)),
_xlpm.kWhCool,
ROUND(
IF(OR(ISNUMBER(SEARCH("DX", C82)),ISNUMBER(SEARCH("ASHP", C82)), ISNUMBER(SEARCH("PTAC", C82)), ISNUMBER(SEARCH("PTHP", C82)), ISNUMBER(SEARCH("Air-Cooled Chiller", C82)), ISNUMBER(SEARCH("VRF", C82))),
_xlpm.Tons_Cool * (12/_xlpm.PLC_Base - 12/_xlpm.PLC_Eff)*_xlpm.EFLH_Cool,
IF(ISNUMBER(SEARCH("Water", C82)),
_xlpm.Tons_Cool * (_xlpm.PLC_Base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(1/_xlpm.Other_Base - 1/_xlpm.Other_Eff) * _xlpm.EFLH_Heat,
" "
)),4),
0
),
IFERROR(_xlpm.kWhCool + _xlpm.kWhHeat, "Measure Not Specified.")
), "")</f>
        <v/>
      </c>
      <c r="BG82" s="965" t="str">
        <f t="shared" ref="BG82" si="64">IF(C82&lt;&gt;"", _xlfn.LET(
_xlpm.Tons, V82, _xlpm.PCF, 0.913,
IF(AND(ISNUMBER(SEARCH("DX",C82)),ISNUMBER(SEARCH("&lt;65 kbtu",C82))),
_xlpm.Tons * (12/11.42-12/MAX(11.42,T82))*_xlpm.PCF,
IF(OR(ISNUMBER(SEARCH("DX", C82)), ISNUMBER(SEARCH("Air-Cooled Chiller", C82)), ISNUMBER(SEARCH("VRF", C82))),
_xlpm.Tons * (12/R82 - 12/T82) * _xlpm.PCF,
IF(ISNUMBER(SEARCH("Water", C82)),
_xlpm.Tons * (R82-T82) * _xlpm.PCF,
IF(ISNUMBER(SEARCH("ASHP", C82)),
_xlpm.Tons * (12/BO82 - 12/BP82) * _xlpm.PCF,
IF(OR(ISNUMBER(SEARCH("PTAC", C82)), ISNUMBER(SEARCH("PTHP", C82))),
_xlpm.Tons * (12/L82 - 12/N82) * _xlpm.PCF,
"Measure Not Specified.")))))), "")</f>
        <v/>
      </c>
      <c r="BH82" s="1004" t="str">
        <f>IFERROR(IF(AI82="per ton", ROUND(V82*AM82, 2),
IF(AND(ISNUMBER(SEARCH("Air-Cooled Chiller",C82)),AI82="$/ton/IPLV"), ROUND((12/L82-12/N82)*V82*AM82, 2),
ROUND(ABS(N82-L82)*V82*AM82, 2))), "")</f>
        <v/>
      </c>
      <c r="BI82" s="967" t="str">
        <f>IFERROR(IF(OR(C82="",N82="",V82="",AA82="",T82="",AE82="",AG82="",ISNUMBER(AR82)=FALSE,AR82=0),"",INDEX(STDHVAC_N[Measure Number],MATCH(C82,STDHVAC_N[Measure Name],0))),"Err")</f>
        <v/>
      </c>
      <c r="BJ82" s="996" t="str">
        <f>IFERROR(IF(BT82="",IF(AR82 &lt; BH82, "100% Total Cost", ""), ""), "")</f>
        <v/>
      </c>
      <c r="BK82" s="967" t="str">
        <f>IFERROR(
IF(OR(C82="",J82="",L82="",N82="",P82="",R82="",T82="",V82="",AE82="",AG82=""),
"",
IF(BT82&gt;0,"",IF(OR(AND(ISNUMBER(SEARCH("kW/ton", J82)),OR(L82&lt;N82,R82&lt;T82)),AND(NOT(ISNUMBER(SEARCH("kW/ton", J82))),OR(L82&gt;N82,R82&gt;T82))),
"Must Improve Efficiency",
IF(EXPIRATION&lt;&gt;"",PROJSTATEXP,"")))),
"")</f>
        <v/>
      </c>
      <c r="BL82" s="959" t="str">
        <f>IFERROR(INDEX(STDHVAC_N[Measure Life (Years)],MATCH(C82,STDHVAC_N[Measure Name],0)),"")</f>
        <v/>
      </c>
      <c r="BM82" s="787" t="str">
        <f>IFERROR(IF(OR(C82="",N82="",V82="",AA82="",T82="",AE82="",AG82=""),"",
ROUND(((1+ELOSS)*((BA82*INDEX(ELECCB[NPV AEC $/kWh],MATCH(BL82,ELECCB[Year Number],1)))+(BB82*INDEX(ELECCB[NPV ACC $/kW],MATCH(BL82,ELECCB[Year Number],1))))),2)),0)</f>
        <v/>
      </c>
      <c r="BN82" s="1006" t="str">
        <f>IFERROR(IF(INDEX(STDHVAC_N[Eff Unit 3],MATCH(C82,STDHVAC_N[Measure Name],0))="","",INDEX(STDHVAC_N[Eff Unit 3],MATCH(C82,STDHVAC_N[Measure Name],0))),"")</f>
        <v/>
      </c>
      <c r="BO82" s="1008" t="str">
        <f>IFERROR(IF(INDEX(STDHVAC_N[Base Efficiency 3],MATCH(C82,STDHVAC_N[Measure Name],0))="","",INDEX(STDHVAC_N[Base Efficiency 3],MATCH(C82,STDHVAC_N[Measure Name],0))),"")</f>
        <v/>
      </c>
      <c r="BP82" s="1010" t="str">
        <f>IFERROR(IF(ISNUMBER(SEARCH("Air-Cooled Chiller",$C82)),12/N82,""),"")</f>
        <v/>
      </c>
      <c r="BQ82" s="1012"/>
      <c r="BR82" s="1014" t="str">
        <f>IFERROR(IF(BI82="","",INDEX(STDHVAC_N[Reporting Methodology],MATCH(C82,STDHVAC_N[Measure Name],0))),"Err")</f>
        <v/>
      </c>
      <c r="BS82" s="787" t="str">
        <f>IFERROR(IF(OR(C82="",V82=""),"",INDEX(STDHVAC_N[Incremental Measure Cost ($/Unit)],MATCH(C82,STDHVAC_N[Measure Name],0))*V82),"Err")</f>
        <v/>
      </c>
      <c r="BT82" s="853"/>
    </row>
    <row r="83" spans="2:72" ht="15.95" customHeight="1">
      <c r="B83" s="800"/>
      <c r="C83" s="936"/>
      <c r="D83" s="937"/>
      <c r="E83" s="937"/>
      <c r="F83" s="937"/>
      <c r="G83" s="937"/>
      <c r="H83" s="937"/>
      <c r="I83" s="938"/>
      <c r="J83" s="941"/>
      <c r="K83" s="942"/>
      <c r="L83" s="944"/>
      <c r="M83" s="944"/>
      <c r="N83" s="947"/>
      <c r="O83" s="948"/>
      <c r="P83" s="941"/>
      <c r="Q83" s="942"/>
      <c r="R83" s="944"/>
      <c r="S83" s="944"/>
      <c r="T83" s="951"/>
      <c r="U83" s="952"/>
      <c r="V83" s="955"/>
      <c r="W83" s="956"/>
      <c r="X83" s="936"/>
      <c r="Y83" s="937"/>
      <c r="Z83" s="938"/>
      <c r="AA83" s="1016"/>
      <c r="AB83" s="937"/>
      <c r="AC83" s="937"/>
      <c r="AD83" s="938"/>
      <c r="AE83" s="979"/>
      <c r="AF83" s="980"/>
      <c r="AG83" s="980"/>
      <c r="AH83" s="982"/>
      <c r="AI83" s="985"/>
      <c r="AJ83" s="985"/>
      <c r="AK83" s="985"/>
      <c r="AL83" s="986"/>
      <c r="AM83" s="991"/>
      <c r="AN83" s="992"/>
      <c r="AO83" s="988"/>
      <c r="AP83" s="988"/>
      <c r="AQ83" s="988"/>
      <c r="AR83" s="970"/>
      <c r="AS83" s="970"/>
      <c r="AT83" s="970"/>
      <c r="AU83" s="970"/>
      <c r="AV83" s="21"/>
      <c r="AY83" s="972"/>
      <c r="AZ83" s="974"/>
      <c r="BA83" s="976"/>
      <c r="BB83" s="976"/>
      <c r="BC83" s="962"/>
      <c r="BD83" s="962"/>
      <c r="BE83" s="964"/>
      <c r="BF83" s="966"/>
      <c r="BG83" s="966"/>
      <c r="BH83" s="1005"/>
      <c r="BI83" s="968"/>
      <c r="BJ83" s="997"/>
      <c r="BK83" s="968"/>
      <c r="BL83" s="960"/>
      <c r="BM83" s="788"/>
      <c r="BN83" s="1007"/>
      <c r="BO83" s="1009"/>
      <c r="BP83" s="1011"/>
      <c r="BQ83" s="1013"/>
      <c r="BR83" s="849"/>
      <c r="BS83" s="788"/>
      <c r="BT83" s="854"/>
    </row>
    <row r="84" spans="2:72" ht="15.95" customHeight="1">
      <c r="B84" s="800">
        <v>34</v>
      </c>
      <c r="C84" s="993"/>
      <c r="D84" s="994"/>
      <c r="E84" s="994"/>
      <c r="F84" s="994"/>
      <c r="G84" s="994"/>
      <c r="H84" s="994"/>
      <c r="I84" s="995"/>
      <c r="J84" s="939" t="str">
        <f>IF(C84="","",INDEX(STDHVAC_N[Eff Unit 1],MATCH(C84,STDHVAC_N[Measure Name],0)))</f>
        <v/>
      </c>
      <c r="K84" s="940"/>
      <c r="L84" s="943" t="str">
        <f>IF(C84="","",INDEX(STDHVAC_N[Base Efficiency 1],MATCH(C84,STDHVAC_N[Measure Name],0)))</f>
        <v/>
      </c>
      <c r="M84" s="943"/>
      <c r="N84" s="945"/>
      <c r="O84" s="946"/>
      <c r="P84" s="939" t="str">
        <f>IF(C84="","",INDEX(STDHVAC_N[Eff Unit 2],MATCH(C84,STDHVAC_N[Measure Name],0)))</f>
        <v/>
      </c>
      <c r="Q84" s="940"/>
      <c r="R84" s="943" t="str">
        <f>IF(C84="","",INDEX(STDHVAC_N[Base Efficiency 2],MATCH(C84,STDHVAC_N[Measure Name],0)))</f>
        <v/>
      </c>
      <c r="S84" s="943"/>
      <c r="T84" s="949" t="str">
        <f t="shared" ref="T84" si="65">IF(AND(ISNUMBER(SEARCH("DX",C84)),ISNUMBER(SEARCH("&lt;65 kbtu",C84)),N84&lt;&gt;""),1.12*N84-0.02*N84^2,IF(ISNUMBER(SEARCH("PTAC",C84)),1,""))</f>
        <v/>
      </c>
      <c r="U84" s="950"/>
      <c r="V84" s="955"/>
      <c r="W84" s="956"/>
      <c r="X84" s="993"/>
      <c r="Y84" s="994"/>
      <c r="Z84" s="995"/>
      <c r="AA84" s="1015"/>
      <c r="AB84" s="889"/>
      <c r="AC84" s="889"/>
      <c r="AD84" s="935"/>
      <c r="AE84" s="979"/>
      <c r="AF84" s="980"/>
      <c r="AG84" s="980"/>
      <c r="AH84" s="982"/>
      <c r="AI84" s="985" t="str">
        <f>IF(C84="","",INDEX(STDHVAC_N[Current Unit],MATCH(C84,STDHVAC_N[Measure Name],0)))</f>
        <v/>
      </c>
      <c r="AJ84" s="985"/>
      <c r="AK84" s="985"/>
      <c r="AL84" s="986"/>
      <c r="AM84" s="998" t="str">
        <f>IFERROR(IF(C84="","",INDEX(IF(AND(ACTIVEBONUS_N = TRUE,INDEX(STDHVAC_N[Bonus Incentive],MATCH(C84,STDHVAC_N[Measure Name],0))&lt;&gt; ""),STDHVAC_N[Bonus Incentive],STDHVAC_N[Base Incentive]),MATCH(C84,STDHVAC_N[Measure Name],0))),"")</f>
        <v/>
      </c>
      <c r="AN84" s="999"/>
      <c r="AO84" s="987" t="str">
        <f>IFERROR(IF(OR(C84="",N84="",V84="",AA84="",T84="",AE84="",AG84=""),"",BF84),"")</f>
        <v/>
      </c>
      <c r="AP84" s="987"/>
      <c r="AQ84" s="987"/>
      <c r="AR84" s="969" t="str">
        <f>IFERROR(IF(OR(C84="",N84="",V84="",AA84="",T84="",AE84="",AG84=""),"",IF(BK84&lt;&gt;"",BK84,IF(BT84&gt;0,BT84,ROUND(IF(AO84&lt;=0,0,MIN(AY84,BH84)), 2)))), "")</f>
        <v/>
      </c>
      <c r="AS84" s="969"/>
      <c r="AT84" s="969"/>
      <c r="AU84" s="969"/>
      <c r="AV84" s="21"/>
      <c r="AY84" s="971" t="str">
        <f>IF(OR(C84="",N84="",V84="",AA84="",T84="",AE84="",AG84=""),"",IF(AO84=0,"",ROUND(AE84+AG84,2)))</f>
        <v/>
      </c>
      <c r="AZ84" s="973" t="str">
        <f>IFERROR(IF(OR(C84="",N84="",V84="",AA84="",T84="",AE84="",AG84=""),"",INDEX(STDHVAC_N[Current Unit],MATCH(C84,STDHVAC_N[Measure Name],0))),"Err")</f>
        <v/>
      </c>
      <c r="BA84" s="975" t="str">
        <f>IF(
OR(C84="",N84="",T84="",V84="",AA84="",AE84="",AG84=""),"",
IF(OR(ISNUMBER(SEARCH("PTAC",C84)),ISNUMBER(SEARCH("PTHP",C84))),
ROUND(V84*INDEX(STDHVAC_N[Electric Energy Savings (Annual kWh/unit)],MATCH(C84,#REF!,0)),4),
ROUND(V84*ABS(N84-L84)*INDEX(STDHVAC_N[Electric Energy Savings (Annual kWh/unit)],MATCH(C84,STDHVAC_N[Measure Name],0)),4)
))</f>
        <v/>
      </c>
      <c r="BB84" s="975" t="str">
        <f>IF(
OR(C84="",N84="",T84="",V84="",AA84="",AE84="",AG84=""),"",
IF(OR(ISNUMBER(SEARCH("PTAC",C84)),ISNUMBER(SEARCH("PTHP",C84))),
ROUND(V84*INDEX(STDHVAC_N[Coincident Peak Demand Savings (kW/unit)],MATCH(C84,STDHVAC_N[Measure Name],0)),4),
ROUND(V84*ABS(N84-L84)*INDEX(STDHVAC_N[Coincident Peak Demand Savings (kW/unit)],MATCH(C84,STDHVAC_N[Measure Name],0)),4)
))</f>
        <v/>
      </c>
      <c r="BC84" s="962"/>
      <c r="BD84" s="962"/>
      <c r="BE84" s="963" t="str">
        <f>IFERROR(IF(OR(C84="",N84="",V84="",AA84="",T84="",AE84="",AG84=""),"",INDEX(STDHVAC_N[End Use],MATCH(C84,STDHVAC_N[Measure Name],0))),"Err")</f>
        <v/>
      </c>
      <c r="BF84" s="965" t="str">
        <f>IF(C84&lt;&gt;"", _xlfn.LET(
_xlpm.Tons_Cool, V84, _xlpm.PLC_Base, L84, _xlpm.PLC_Eff, N84, _xlpm.Tons_Heat, BQ84, _xlpm.Other_Base, R84, _xlpm.Other_Eff, T84,
_xlpm.EFLH_Cool,
INDEX(STDHVAC_N[EFLHcool],MATCH(C84,STDHVAC_N[Measure Name],0)),
_xlpm.EFLH_Heat,
INDEX(STDHVAC_N[EFLHheat],MATCH(C84,STDHVAC_N[Measure Name],0)),
_xlpm.ElecHeat,
INDEX(SPACEHEAT[ELECHEAT],MATCH(N02S03F29,SPACEHEAT[Space Conditioning],0)),
_xlpm.kWhCool,
ROUND(
IF(OR(ISNUMBER(SEARCH("DX", C84)),ISNUMBER(SEARCH("ASHP", C84)), ISNUMBER(SEARCH("PTAC", C84)), ISNUMBER(SEARCH("PTHP", C84)), ISNUMBER(SEARCH("Air-Cooled Chiller", C84)), ISNUMBER(SEARCH("VRF", C84))),
_xlpm.Tons_Cool * (12/_xlpm.PLC_Base - 12/_xlpm.PLC_Eff)*_xlpm.EFLH_Cool,
IF(ISNUMBER(SEARCH("Water", C84)),
_xlpm.Tons_Cool * (_xlpm.PLC_Base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(1/_xlpm.Other_Base - 1/_xlpm.Other_Eff) * _xlpm.EFLH_Heat,
" "
)),4),
0
),
IFERROR(_xlpm.kWhCool + _xlpm.kWhHeat, "Measure Not Specified.")
), "")</f>
        <v/>
      </c>
      <c r="BG84" s="965" t="str">
        <f t="shared" ref="BG84" si="66">IF(C84&lt;&gt;"", _xlfn.LET(
_xlpm.Tons, V84, _xlpm.PCF, 0.913,
IF(AND(ISNUMBER(SEARCH("DX",C84)),ISNUMBER(SEARCH("&lt;65 kbtu",C84))),
_xlpm.Tons * (12/11.42-12/MAX(11.42,T84))*_xlpm.PCF,
IF(OR(ISNUMBER(SEARCH("DX", C84)), ISNUMBER(SEARCH("Air-Cooled Chiller", C84)), ISNUMBER(SEARCH("VRF", C84))),
_xlpm.Tons * (12/R84 - 12/T84) * _xlpm.PCF,
IF(ISNUMBER(SEARCH("Water", C84)),
_xlpm.Tons * (R84-T84) * _xlpm.PCF,
IF(ISNUMBER(SEARCH("ASHP", C84)),
_xlpm.Tons * (12/BO84 - 12/BP84) * _xlpm.PCF,
IF(OR(ISNUMBER(SEARCH("PTAC", C84)), ISNUMBER(SEARCH("PTHP", C84))),
_xlpm.Tons * (12/L84 - 12/N84) * _xlpm.PCF,
"Measure Not Specified.")))))), "")</f>
        <v/>
      </c>
      <c r="BH84" s="1004" t="str">
        <f>IFERROR(IF(AI84="per ton", ROUND(V84*AM84, 2),
IF(AND(ISNUMBER(SEARCH("Air-Cooled Chiller",C84)),AI84="$/ton/IPLV"), ROUND((12/L84-12/N84)*V84*AM84, 2),
ROUND(ABS(N84-L84)*V84*AM84, 2))), "")</f>
        <v/>
      </c>
      <c r="BI84" s="967" t="str">
        <f>IFERROR(IF(OR(C84="",N84="",V84="",AA84="",T84="",AE84="",AG84="",ISNUMBER(AR84)=FALSE,AR84=0),"",INDEX(STDHVAC_N[Measure Number],MATCH(C84,STDHVAC_N[Measure Name],0))),"Err")</f>
        <v/>
      </c>
      <c r="BJ84" s="996" t="str">
        <f>IFERROR(IF(BT84="",IF(AR84 &lt; BH84, "100% Total Cost", ""), ""), "")</f>
        <v/>
      </c>
      <c r="BK84" s="967" t="str">
        <f>IFERROR(
IF(OR(C84="",J84="",L84="",N84="",P84="",R84="",T84="",V84="",AE84="",AG84=""),
"",
IF(BT84&gt;0,"",IF(OR(AND(ISNUMBER(SEARCH("kW/ton", J84)),OR(L84&lt;N84,R84&lt;T84)),AND(NOT(ISNUMBER(SEARCH("kW/ton", J84))),OR(L84&gt;N84,R84&gt;T84))),
"Must Improve Efficiency",
IF(EXPIRATION&lt;&gt;"",PROJSTATEXP,"")))),
"")</f>
        <v/>
      </c>
      <c r="BL84" s="959" t="str">
        <f>IFERROR(INDEX(STDHVAC_N[Measure Life (Years)],MATCH(C84,STDHVAC_N[Measure Name],0)),"")</f>
        <v/>
      </c>
      <c r="BM84" s="787" t="str">
        <f>IFERROR(IF(OR(C84="",N84="",V84="",AA84="",T84="",AE84="",AG84=""),"",
ROUND(((1+ELOSS)*((BA84*INDEX(ELECCB[NPV AEC $/kWh],MATCH(BL84,ELECCB[Year Number],1)))+(BB84*INDEX(ELECCB[NPV ACC $/kW],MATCH(BL84,ELECCB[Year Number],1))))),2)),0)</f>
        <v/>
      </c>
      <c r="BN84" s="1006" t="str">
        <f>IFERROR(IF(INDEX(STDHVAC_N[Eff Unit 3],MATCH(C84,STDHVAC_N[Measure Name],0))="","",INDEX(STDHVAC_N[Eff Unit 3],MATCH(C84,STDHVAC_N[Measure Name],0))),"")</f>
        <v/>
      </c>
      <c r="BO84" s="1008" t="str">
        <f>IFERROR(IF(INDEX(STDHVAC_N[Base Efficiency 3],MATCH(C84,STDHVAC_N[Measure Name],0))="","",INDEX(STDHVAC_N[Base Efficiency 3],MATCH(C84,STDHVAC_N[Measure Name],0))),"")</f>
        <v/>
      </c>
      <c r="BP84" s="1010" t="str">
        <f>IFERROR(IF(ISNUMBER(SEARCH("Air-Cooled Chiller",$C84)),12/N84,""),"")</f>
        <v/>
      </c>
      <c r="BQ84" s="1012"/>
      <c r="BR84" s="1014" t="str">
        <f>IFERROR(IF(BI84="","",INDEX(STDHVAC_N[Reporting Methodology],MATCH(C84,STDHVAC_N[Measure Name],0))),"Err")</f>
        <v/>
      </c>
      <c r="BS84" s="787" t="str">
        <f>IFERROR(IF(OR(C84="",V84=""),"",INDEX(STDHVAC_N[Incremental Measure Cost ($/Unit)],MATCH(C84,STDHVAC_N[Measure Name],0))*V84),"Err")</f>
        <v/>
      </c>
      <c r="BT84" s="853"/>
    </row>
    <row r="85" spans="2:72" ht="15.95" customHeight="1">
      <c r="B85" s="800"/>
      <c r="C85" s="936"/>
      <c r="D85" s="937"/>
      <c r="E85" s="937"/>
      <c r="F85" s="937"/>
      <c r="G85" s="937"/>
      <c r="H85" s="937"/>
      <c r="I85" s="938"/>
      <c r="J85" s="941"/>
      <c r="K85" s="942"/>
      <c r="L85" s="944"/>
      <c r="M85" s="944"/>
      <c r="N85" s="947"/>
      <c r="O85" s="948"/>
      <c r="P85" s="941"/>
      <c r="Q85" s="942"/>
      <c r="R85" s="944"/>
      <c r="S85" s="944"/>
      <c r="T85" s="951"/>
      <c r="U85" s="952"/>
      <c r="V85" s="955"/>
      <c r="W85" s="956"/>
      <c r="X85" s="936"/>
      <c r="Y85" s="937"/>
      <c r="Z85" s="938"/>
      <c r="AA85" s="1016"/>
      <c r="AB85" s="937"/>
      <c r="AC85" s="937"/>
      <c r="AD85" s="938"/>
      <c r="AE85" s="979"/>
      <c r="AF85" s="980"/>
      <c r="AG85" s="980"/>
      <c r="AH85" s="982"/>
      <c r="AI85" s="985"/>
      <c r="AJ85" s="985"/>
      <c r="AK85" s="985"/>
      <c r="AL85" s="986"/>
      <c r="AM85" s="991"/>
      <c r="AN85" s="992"/>
      <c r="AO85" s="988"/>
      <c r="AP85" s="988"/>
      <c r="AQ85" s="988"/>
      <c r="AR85" s="970"/>
      <c r="AS85" s="970"/>
      <c r="AT85" s="970"/>
      <c r="AU85" s="970"/>
      <c r="AV85" s="21"/>
      <c r="AY85" s="972"/>
      <c r="AZ85" s="974"/>
      <c r="BA85" s="976"/>
      <c r="BB85" s="976"/>
      <c r="BC85" s="962"/>
      <c r="BD85" s="962"/>
      <c r="BE85" s="964"/>
      <c r="BF85" s="966"/>
      <c r="BG85" s="966"/>
      <c r="BH85" s="1005"/>
      <c r="BI85" s="968"/>
      <c r="BJ85" s="997"/>
      <c r="BK85" s="968"/>
      <c r="BL85" s="960"/>
      <c r="BM85" s="788"/>
      <c r="BN85" s="1007"/>
      <c r="BO85" s="1009"/>
      <c r="BP85" s="1011"/>
      <c r="BQ85" s="1013"/>
      <c r="BR85" s="849"/>
      <c r="BS85" s="788"/>
      <c r="BT85" s="854"/>
    </row>
    <row r="86" spans="2:72" ht="15.95" customHeight="1">
      <c r="B86" s="800">
        <v>35</v>
      </c>
      <c r="C86" s="993"/>
      <c r="D86" s="994"/>
      <c r="E86" s="994"/>
      <c r="F86" s="994"/>
      <c r="G86" s="994"/>
      <c r="H86" s="994"/>
      <c r="I86" s="995"/>
      <c r="J86" s="939" t="str">
        <f>IF(C86="","",INDEX(STDHVAC_N[Eff Unit 1],MATCH(C86,STDHVAC_N[Measure Name],0)))</f>
        <v/>
      </c>
      <c r="K86" s="940"/>
      <c r="L86" s="943" t="str">
        <f>IF(C86="","",INDEX(STDHVAC_N[Base Efficiency 1],MATCH(C86,STDHVAC_N[Measure Name],0)))</f>
        <v/>
      </c>
      <c r="M86" s="943"/>
      <c r="N86" s="945"/>
      <c r="O86" s="946"/>
      <c r="P86" s="939" t="str">
        <f>IF(C86="","",INDEX(STDHVAC_N[Eff Unit 2],MATCH(C86,STDHVAC_N[Measure Name],0)))</f>
        <v/>
      </c>
      <c r="Q86" s="940"/>
      <c r="R86" s="943" t="str">
        <f>IF(C86="","",INDEX(STDHVAC_N[Base Efficiency 2],MATCH(C86,STDHVAC_N[Measure Name],0)))</f>
        <v/>
      </c>
      <c r="S86" s="943"/>
      <c r="T86" s="949" t="str">
        <f t="shared" ref="T86" si="67">IF(AND(ISNUMBER(SEARCH("DX",C86)),ISNUMBER(SEARCH("&lt;65 kbtu",C86)),N86&lt;&gt;""),1.12*N86-0.02*N86^2,IF(ISNUMBER(SEARCH("PTAC",C86)),1,""))</f>
        <v/>
      </c>
      <c r="U86" s="950"/>
      <c r="V86" s="955"/>
      <c r="W86" s="956"/>
      <c r="X86" s="993"/>
      <c r="Y86" s="994"/>
      <c r="Z86" s="995"/>
      <c r="AA86" s="1015"/>
      <c r="AB86" s="889"/>
      <c r="AC86" s="889"/>
      <c r="AD86" s="935"/>
      <c r="AE86" s="979"/>
      <c r="AF86" s="980"/>
      <c r="AG86" s="980"/>
      <c r="AH86" s="982"/>
      <c r="AI86" s="985" t="str">
        <f>IF(C86="","",INDEX(STDHVAC_N[Current Unit],MATCH(C86,STDHVAC_N[Measure Name],0)))</f>
        <v/>
      </c>
      <c r="AJ86" s="985"/>
      <c r="AK86" s="985"/>
      <c r="AL86" s="986"/>
      <c r="AM86" s="998" t="str">
        <f>IFERROR(IF(C86="","",INDEX(IF(AND(ACTIVEBONUS_N = TRUE,INDEX(STDHVAC_N[Bonus Incentive],MATCH(C86,STDHVAC_N[Measure Name],0))&lt;&gt; ""),STDHVAC_N[Bonus Incentive],STDHVAC_N[Base Incentive]),MATCH(C86,STDHVAC_N[Measure Name],0))),"")</f>
        <v/>
      </c>
      <c r="AN86" s="999"/>
      <c r="AO86" s="987" t="str">
        <f>IFERROR(IF(OR(C86="",N86="",V86="",AA86="",T86="",AE86="",AG86=""),"",BF86),"")</f>
        <v/>
      </c>
      <c r="AP86" s="987"/>
      <c r="AQ86" s="987"/>
      <c r="AR86" s="969" t="str">
        <f>IFERROR(IF(OR(C86="",N86="",V86="",AA86="",T86="",AE86="",AG86=""),"",IF(BK86&lt;&gt;"",BK86,IF(BT86&gt;0,BT86,ROUND(IF(AO86&lt;=0,0,MIN(AY86,BH86)), 2)))), "")</f>
        <v/>
      </c>
      <c r="AS86" s="969"/>
      <c r="AT86" s="969"/>
      <c r="AU86" s="969"/>
      <c r="AV86" s="21"/>
      <c r="AY86" s="971" t="str">
        <f>IF(OR(C86="",N86="",V86="",AA86="",T86="",AE86="",AG86=""),"",IF(AO86=0,"",ROUND(AE86+AG86,2)))</f>
        <v/>
      </c>
      <c r="AZ86" s="973" t="str">
        <f>IFERROR(IF(OR(C86="",N86="",V86="",AA86="",T86="",AE86="",AG86=""),"",INDEX(STDHVAC_N[Current Unit],MATCH(C86,STDHVAC_N[Measure Name],0))),"Err")</f>
        <v/>
      </c>
      <c r="BA86" s="975" t="str">
        <f>IF(
OR(C86="",N86="",T86="",V86="",AA86="",AE86="",AG86=""),"",
IF(OR(ISNUMBER(SEARCH("PTAC",C86)),ISNUMBER(SEARCH("PTHP",C86))),
ROUND(V86*INDEX(STDHVAC_N[Electric Energy Savings (Annual kWh/unit)],MATCH(C86,#REF!,0)),4),
ROUND(V86*ABS(N86-L86)*INDEX(STDHVAC_N[Electric Energy Savings (Annual kWh/unit)],MATCH(C86,STDHVAC_N[Measure Name],0)),4)
))</f>
        <v/>
      </c>
      <c r="BB86" s="975" t="str">
        <f>IF(
OR(C86="",N86="",T86="",V86="",AA86="",AE86="",AG86=""),"",
IF(OR(ISNUMBER(SEARCH("PTAC",C86)),ISNUMBER(SEARCH("PTHP",C86))),
ROUND(V86*INDEX(STDHVAC_N[Coincident Peak Demand Savings (kW/unit)],MATCH(C86,STDHVAC_N[Measure Name],0)),4),
ROUND(V86*ABS(N86-L86)*INDEX(STDHVAC_N[Coincident Peak Demand Savings (kW/unit)],MATCH(C86,STDHVAC_N[Measure Name],0)),4)
))</f>
        <v/>
      </c>
      <c r="BC86" s="962"/>
      <c r="BD86" s="962"/>
      <c r="BE86" s="963" t="str">
        <f>IFERROR(IF(OR(C86="",N86="",V86="",AA86="",T86="",AE86="",AG86=""),"",INDEX(STDHVAC_N[End Use],MATCH(C86,STDHVAC_N[Measure Name],0))),"Err")</f>
        <v/>
      </c>
      <c r="BF86" s="965" t="str">
        <f>IF(C86&lt;&gt;"", _xlfn.LET(
_xlpm.Tons_Cool, V86, _xlpm.PLC_Base, L86, _xlpm.PLC_Eff, N86, _xlpm.Tons_Heat, BQ86, _xlpm.Other_Base, R86, _xlpm.Other_Eff, T86,
_xlpm.EFLH_Cool,
INDEX(STDHVAC_N[EFLHcool],MATCH(C86,STDHVAC_N[Measure Name],0)),
_xlpm.EFLH_Heat,
INDEX(STDHVAC_N[EFLHheat],MATCH(C86,STDHVAC_N[Measure Name],0)),
_xlpm.ElecHeat,
INDEX(SPACEHEAT[ELECHEAT],MATCH(N02S03F29,SPACEHEAT[Space Conditioning],0)),
_xlpm.kWhCool,
ROUND(
IF(OR(ISNUMBER(SEARCH("DX", C86)),ISNUMBER(SEARCH("ASHP", C86)), ISNUMBER(SEARCH("PTAC", C86)), ISNUMBER(SEARCH("PTHP", C86)), ISNUMBER(SEARCH("Air-Cooled Chiller", C86)), ISNUMBER(SEARCH("VRF", C86))),
_xlpm.Tons_Cool * (12/_xlpm.PLC_Base - 12/_xlpm.PLC_Eff)*_xlpm.EFLH_Cool,
IF(ISNUMBER(SEARCH("Water", C86)),
_xlpm.Tons_Cool * (_xlpm.PLC_Base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(1/_xlpm.Other_Base - 1/_xlpm.Other_Eff) * _xlpm.EFLH_Heat,
" "
)),4),
0
),
IFERROR(_xlpm.kWhCool + _xlpm.kWhHeat, "Measure Not Specified.")
), "")</f>
        <v/>
      </c>
      <c r="BG86" s="965" t="str">
        <f t="shared" ref="BG86" si="68">IF(C86&lt;&gt;"", _xlfn.LET(
_xlpm.Tons, V86, _xlpm.PCF, 0.913,
IF(AND(ISNUMBER(SEARCH("DX",C86)),ISNUMBER(SEARCH("&lt;65 kbtu",C86))),
_xlpm.Tons * (12/11.42-12/MAX(11.42,T86))*_xlpm.PCF,
IF(OR(ISNUMBER(SEARCH("DX", C86)), ISNUMBER(SEARCH("Air-Cooled Chiller", C86)), ISNUMBER(SEARCH("VRF", C86))),
_xlpm.Tons * (12/R86 - 12/T86) * _xlpm.PCF,
IF(ISNUMBER(SEARCH("Water", C86)),
_xlpm.Tons * (R86-T86) * _xlpm.PCF,
IF(ISNUMBER(SEARCH("ASHP", C86)),
_xlpm.Tons * (12/BO86 - 12/BP86) * _xlpm.PCF,
IF(OR(ISNUMBER(SEARCH("PTAC", C86)), ISNUMBER(SEARCH("PTHP", C86))),
_xlpm.Tons * (12/L86 - 12/N86) * _xlpm.PCF,
"Measure Not Specified.")))))), "")</f>
        <v/>
      </c>
      <c r="BH86" s="1004" t="str">
        <f>IFERROR(IF(AI86="per ton", ROUND(V86*AM86, 2),
IF(AND(ISNUMBER(SEARCH("Air-Cooled Chiller",C86)),AI86="$/ton/IPLV"), ROUND((12/L86-12/N86)*V86*AM86, 2),
ROUND(ABS(N86-L86)*V86*AM86, 2))), "")</f>
        <v/>
      </c>
      <c r="BI86" s="967" t="str">
        <f>IFERROR(IF(OR(C86="",N86="",V86="",AA86="",T86="",AE86="",AG86="",ISNUMBER(AR86)=FALSE,AR86=0),"",INDEX(STDHVAC_N[Measure Number],MATCH(C86,STDHVAC_N[Measure Name],0))),"Err")</f>
        <v/>
      </c>
      <c r="BJ86" s="996" t="str">
        <f>IFERROR(IF(BT86="",IF(AR86 &lt; BH86, "100% Total Cost", ""), ""), "")</f>
        <v/>
      </c>
      <c r="BK86" s="967" t="str">
        <f>IFERROR(
IF(OR(C86="",J86="",L86="",N86="",P86="",R86="",T86="",V86="",AE86="",AG86=""),
"",
IF(BT86&gt;0,"",IF(OR(AND(ISNUMBER(SEARCH("kW/ton", J86)),OR(L86&lt;N86,R86&lt;T86)),AND(NOT(ISNUMBER(SEARCH("kW/ton", J86))),OR(L86&gt;N86,R86&gt;T86))),
"Must Improve Efficiency",
IF(EXPIRATION&lt;&gt;"",PROJSTATEXP,"")))),
"")</f>
        <v/>
      </c>
      <c r="BL86" s="959" t="str">
        <f>IFERROR(INDEX(STDHVAC_N[Measure Life (Years)],MATCH(C86,STDHVAC_N[Measure Name],0)),"")</f>
        <v/>
      </c>
      <c r="BM86" s="787" t="str">
        <f>IFERROR(IF(OR(C86="",N86="",V86="",AA86="",T86="",AE86="",AG86=""),"",
ROUND(((1+ELOSS)*((BA86*INDEX(ELECCB[NPV AEC $/kWh],MATCH(BL86,ELECCB[Year Number],1)))+(BB86*INDEX(ELECCB[NPV ACC $/kW],MATCH(BL86,ELECCB[Year Number],1))))),2)),0)</f>
        <v/>
      </c>
      <c r="BN86" s="1006" t="str">
        <f>IFERROR(IF(INDEX(STDHVAC_N[Eff Unit 3],MATCH(C86,STDHVAC_N[Measure Name],0))="","",INDEX(STDHVAC_N[Eff Unit 3],MATCH(C86,STDHVAC_N[Measure Name],0))),"")</f>
        <v/>
      </c>
      <c r="BO86" s="1008" t="str">
        <f>IFERROR(IF(INDEX(STDHVAC_N[Base Efficiency 3],MATCH(C86,STDHVAC_N[Measure Name],0))="","",INDEX(STDHVAC_N[Base Efficiency 3],MATCH(C86,STDHVAC_N[Measure Name],0))),"")</f>
        <v/>
      </c>
      <c r="BP86" s="1010" t="str">
        <f t="shared" ref="BP86" si="69">IFERROR(IF(ISNUMBER(SEARCH("Air-Cooled Chiller",$C86)),12/N86,""),"")</f>
        <v/>
      </c>
      <c r="BQ86" s="1012"/>
      <c r="BR86" s="1014" t="str">
        <f>IFERROR(IF(BI86="","",INDEX(STDHVAC_N[Reporting Methodology],MATCH(C86,STDHVAC_N[Measure Name],0))),"Err")</f>
        <v/>
      </c>
      <c r="BS86" s="787" t="str">
        <f>IFERROR(IF(OR(C86="",V86=""),"",INDEX(STDHVAC_N[Incremental Measure Cost ($/Unit)],MATCH(C86,STDHVAC_N[Measure Name],0))*V86),"Err")</f>
        <v/>
      </c>
      <c r="BT86" s="853"/>
    </row>
    <row r="87" spans="2:72" ht="15.95" customHeight="1">
      <c r="B87" s="800"/>
      <c r="C87" s="936"/>
      <c r="D87" s="937"/>
      <c r="E87" s="937"/>
      <c r="F87" s="937"/>
      <c r="G87" s="937"/>
      <c r="H87" s="937"/>
      <c r="I87" s="938"/>
      <c r="J87" s="941"/>
      <c r="K87" s="942"/>
      <c r="L87" s="944"/>
      <c r="M87" s="944"/>
      <c r="N87" s="947"/>
      <c r="O87" s="948"/>
      <c r="P87" s="941"/>
      <c r="Q87" s="942"/>
      <c r="R87" s="944"/>
      <c r="S87" s="944"/>
      <c r="T87" s="951"/>
      <c r="U87" s="952"/>
      <c r="V87" s="955"/>
      <c r="W87" s="956"/>
      <c r="X87" s="936"/>
      <c r="Y87" s="937"/>
      <c r="Z87" s="938"/>
      <c r="AA87" s="1016"/>
      <c r="AB87" s="937"/>
      <c r="AC87" s="937"/>
      <c r="AD87" s="938"/>
      <c r="AE87" s="979"/>
      <c r="AF87" s="980"/>
      <c r="AG87" s="980"/>
      <c r="AH87" s="982"/>
      <c r="AI87" s="985"/>
      <c r="AJ87" s="985"/>
      <c r="AK87" s="985"/>
      <c r="AL87" s="986"/>
      <c r="AM87" s="991"/>
      <c r="AN87" s="992"/>
      <c r="AO87" s="988"/>
      <c r="AP87" s="988"/>
      <c r="AQ87" s="988"/>
      <c r="AR87" s="970"/>
      <c r="AS87" s="970"/>
      <c r="AT87" s="970"/>
      <c r="AU87" s="970"/>
      <c r="AV87" s="21"/>
      <c r="AY87" s="972"/>
      <c r="AZ87" s="974"/>
      <c r="BA87" s="976"/>
      <c r="BB87" s="976"/>
      <c r="BC87" s="962"/>
      <c r="BD87" s="962"/>
      <c r="BE87" s="964"/>
      <c r="BF87" s="966"/>
      <c r="BG87" s="966"/>
      <c r="BH87" s="1005"/>
      <c r="BI87" s="968"/>
      <c r="BJ87" s="997"/>
      <c r="BK87" s="968"/>
      <c r="BL87" s="960"/>
      <c r="BM87" s="788"/>
      <c r="BN87" s="1007"/>
      <c r="BO87" s="1009"/>
      <c r="BP87" s="1011"/>
      <c r="BQ87" s="1013"/>
      <c r="BR87" s="849"/>
      <c r="BS87" s="788"/>
      <c r="BT87" s="854"/>
    </row>
    <row r="88" spans="2:72" ht="15.95" customHeight="1">
      <c r="BA88" s="25"/>
      <c r="BB88" s="31"/>
    </row>
    <row r="89" spans="2:72" ht="15.95" hidden="1" customHeight="1">
      <c r="BA89" s="25"/>
      <c r="BB89" s="31"/>
    </row>
    <row r="90" spans="2:72" ht="15.95" hidden="1" customHeight="1">
      <c r="BA90" s="25"/>
      <c r="BB90" s="31"/>
    </row>
    <row r="91" spans="2:72" ht="15.95" hidden="1" customHeight="1">
      <c r="BA91" s="25"/>
      <c r="BB91" s="31"/>
    </row>
    <row r="92" spans="2:72" ht="15.95" hidden="1" customHeight="1">
      <c r="BA92" s="25"/>
      <c r="BB92" s="31"/>
    </row>
    <row r="93" spans="2:72" ht="15.95" hidden="1" customHeight="1">
      <c r="BA93" s="25"/>
      <c r="BB93" s="31"/>
    </row>
    <row r="94" spans="2:72" ht="15.95" hidden="1" customHeight="1">
      <c r="BA94" s="25"/>
      <c r="BB94" s="31"/>
    </row>
    <row r="95" spans="2:72" ht="15.95" hidden="1" customHeight="1">
      <c r="BA95" s="25"/>
      <c r="BB95" s="31"/>
    </row>
    <row r="96" spans="2:72" ht="15.95" hidden="1" customHeight="1">
      <c r="BA96" s="25"/>
      <c r="BB96" s="31"/>
    </row>
    <row r="97" spans="53:54" ht="15.95" hidden="1" customHeight="1">
      <c r="BA97" s="25"/>
      <c r="BB97" s="31"/>
    </row>
    <row r="98" spans="53:54" ht="15.95" hidden="1" customHeight="1">
      <c r="BA98" s="25"/>
      <c r="BB98" s="31"/>
    </row>
    <row r="99" spans="53:54" ht="15.95" hidden="1" customHeight="1">
      <c r="BA99" s="25"/>
      <c r="BB99" s="31"/>
    </row>
    <row r="100" spans="53:54" ht="15.95" hidden="1" customHeight="1">
      <c r="BA100" s="25"/>
      <c r="BB100" s="31"/>
    </row>
    <row r="101" spans="53:54" ht="15.95" hidden="1" customHeight="1">
      <c r="BA101" s="25"/>
      <c r="BB101" s="31"/>
    </row>
    <row r="102" spans="53:54" ht="15.95" hidden="1" customHeight="1">
      <c r="BA102" s="25"/>
      <c r="BB102" s="31"/>
    </row>
    <row r="103" spans="53:54" ht="15.95" hidden="1" customHeight="1">
      <c r="BA103" s="25"/>
      <c r="BB103" s="31"/>
    </row>
    <row r="104" spans="53:54" ht="15.95" hidden="1" customHeight="1">
      <c r="BA104" s="25"/>
      <c r="BB104" s="31"/>
    </row>
    <row r="105" spans="53:54" ht="15.95" hidden="1" customHeight="1">
      <c r="BA105" s="25"/>
      <c r="BB105" s="31"/>
    </row>
    <row r="106" spans="53:54" ht="15.95" hidden="1" customHeight="1">
      <c r="BA106" s="25"/>
      <c r="BB106" s="31"/>
    </row>
    <row r="107" spans="53:54" ht="15.95" hidden="1" customHeight="1">
      <c r="BA107" s="25"/>
      <c r="BB107" s="31"/>
    </row>
    <row r="108" spans="53:54" ht="15.95" hidden="1" customHeight="1">
      <c r="BA108" s="25"/>
      <c r="BB108" s="31"/>
    </row>
    <row r="109" spans="53:54" ht="15.95" hidden="1" customHeight="1">
      <c r="BA109" s="25"/>
      <c r="BB109" s="31"/>
    </row>
    <row r="110" spans="53:54" ht="15.95" hidden="1" customHeight="1">
      <c r="BA110" s="25"/>
      <c r="BB110" s="31"/>
    </row>
    <row r="111" spans="53:54" ht="15.95" hidden="1" customHeight="1">
      <c r="BA111" s="25"/>
      <c r="BB111" s="31"/>
    </row>
    <row r="112" spans="53:54" ht="15.95" hidden="1" customHeight="1">
      <c r="BA112" s="25"/>
      <c r="BB112" s="31"/>
    </row>
    <row r="113" spans="53:54" ht="15.95" hidden="1" customHeight="1">
      <c r="BA113" s="25"/>
      <c r="BB113" s="31"/>
    </row>
    <row r="114" spans="53:54" ht="15.95" hidden="1" customHeight="1">
      <c r="BA114" s="25"/>
      <c r="BB114" s="31"/>
    </row>
    <row r="115" spans="53:54" ht="15.95" hidden="1" customHeight="1">
      <c r="BA115" s="25"/>
      <c r="BB115" s="31"/>
    </row>
    <row r="116" spans="53:54" ht="15.95" hidden="1" customHeight="1">
      <c r="BA116" s="25"/>
      <c r="BB116" s="31"/>
    </row>
    <row r="117" spans="53:54" ht="15.95" hidden="1" customHeight="1">
      <c r="BA117" s="25"/>
      <c r="BB117" s="31"/>
    </row>
    <row r="118" spans="53:54" ht="15.95" hidden="1" customHeight="1">
      <c r="BA118" s="25"/>
      <c r="BB118" s="31"/>
    </row>
    <row r="119" spans="53:54" ht="15.95" hidden="1" customHeight="1">
      <c r="BA119" s="25"/>
      <c r="BB119" s="31"/>
    </row>
    <row r="120" spans="53:54" ht="15.95" hidden="1" customHeight="1">
      <c r="BA120" s="25"/>
      <c r="BB120" s="31"/>
    </row>
    <row r="121" spans="53:54" ht="15.95" hidden="1" customHeight="1">
      <c r="BA121" s="25"/>
      <c r="BB121" s="31"/>
    </row>
    <row r="122" spans="53:54" ht="15.95" hidden="1" customHeight="1">
      <c r="BA122" s="25"/>
      <c r="BB122" s="31"/>
    </row>
    <row r="123" spans="53:54" ht="15.95" hidden="1" customHeight="1">
      <c r="BA123" s="25"/>
      <c r="BB123" s="31"/>
    </row>
    <row r="124" spans="53:54" ht="15.95" hidden="1" customHeight="1">
      <c r="BA124" s="25"/>
      <c r="BB124" s="31"/>
    </row>
    <row r="125" spans="53:54" ht="15.95" hidden="1" customHeight="1">
      <c r="BA125" s="25"/>
      <c r="BB125" s="31"/>
    </row>
    <row r="126" spans="53:54" ht="15.95" hidden="1" customHeight="1">
      <c r="BA126" s="25"/>
      <c r="BB126" s="31"/>
    </row>
    <row r="127" spans="53:54" ht="15.95" hidden="1" customHeight="1">
      <c r="BA127" s="25"/>
      <c r="BB127" s="31"/>
    </row>
    <row r="128" spans="53:54" ht="15.95" hidden="1" customHeight="1">
      <c r="BA128" s="25"/>
      <c r="BB128" s="31"/>
    </row>
    <row r="129" spans="53:54" ht="15.95" hidden="1" customHeight="1">
      <c r="BA129" s="25"/>
      <c r="BB129" s="31"/>
    </row>
    <row r="130" spans="53:54" ht="15.95" hidden="1" customHeight="1">
      <c r="BA130" s="25"/>
      <c r="BB130" s="31"/>
    </row>
    <row r="131" spans="53:54" ht="15.95" hidden="1" customHeight="1">
      <c r="BA131" s="25"/>
      <c r="BB131" s="31"/>
    </row>
    <row r="132" spans="53:54" ht="15.95" hidden="1" customHeight="1">
      <c r="BA132" s="25"/>
      <c r="BB132" s="31"/>
    </row>
    <row r="133" spans="53:54" ht="15.95" hidden="1" customHeight="1">
      <c r="BA133" s="25"/>
      <c r="BB133" s="31"/>
    </row>
    <row r="134" spans="53:54" ht="15.95" hidden="1" customHeight="1">
      <c r="BA134" s="25"/>
      <c r="BB134" s="31"/>
    </row>
    <row r="135" spans="53:54" ht="15.95" hidden="1" customHeight="1">
      <c r="BA135" s="25"/>
      <c r="BB135" s="31"/>
    </row>
    <row r="136" spans="53:54" ht="15.95" hidden="1" customHeight="1">
      <c r="BA136" s="25"/>
      <c r="BB136" s="31"/>
    </row>
    <row r="137" spans="53:54" ht="15.95" hidden="1" customHeight="1">
      <c r="BA137" s="25"/>
      <c r="BB137" s="31"/>
    </row>
    <row r="138" spans="53:54" ht="15.95" hidden="1" customHeight="1">
      <c r="BA138" s="25"/>
      <c r="BB138" s="31"/>
    </row>
    <row r="139" spans="53:54" ht="15.95" hidden="1" customHeight="1">
      <c r="BA139" s="25"/>
      <c r="BB139" s="31"/>
    </row>
    <row r="140" spans="53:54" ht="15.95" hidden="1" customHeight="1">
      <c r="BA140" s="25"/>
      <c r="BB140" s="31"/>
    </row>
    <row r="141" spans="53:54" ht="15.95" hidden="1" customHeight="1">
      <c r="BA141" s="25"/>
      <c r="BB141" s="31"/>
    </row>
    <row r="142" spans="53:54" ht="15.95" hidden="1" customHeight="1">
      <c r="BA142" s="25"/>
      <c r="BB142" s="31"/>
    </row>
    <row r="143" spans="53:54" ht="15.95" hidden="1" customHeight="1">
      <c r="BA143" s="25"/>
      <c r="BB143" s="31"/>
    </row>
    <row r="144" spans="53:54" ht="15.95" hidden="1" customHeight="1">
      <c r="BA144" s="25"/>
      <c r="BB144" s="31"/>
    </row>
    <row r="145" spans="53:54" ht="15.95" hidden="1" customHeight="1">
      <c r="BA145" s="25"/>
      <c r="BB145" s="31"/>
    </row>
    <row r="146" spans="53:54" ht="15.95" hidden="1" customHeight="1">
      <c r="BA146" s="25"/>
      <c r="BB146" s="31"/>
    </row>
    <row r="147" spans="53:54" ht="15.95" hidden="1" customHeight="1">
      <c r="BA147" s="25"/>
      <c r="BB147" s="31"/>
    </row>
    <row r="148" spans="53:54" ht="15.95" hidden="1" customHeight="1">
      <c r="BA148" s="25"/>
      <c r="BB148" s="31"/>
    </row>
    <row r="149" spans="53:54" ht="15.95" hidden="1" customHeight="1">
      <c r="BA149" s="25"/>
      <c r="BB149" s="31"/>
    </row>
    <row r="150" spans="53:54" ht="15.95" hidden="1" customHeight="1">
      <c r="BA150" s="25"/>
      <c r="BB150" s="31"/>
    </row>
    <row r="151" spans="53:54" ht="15.95" hidden="1" customHeight="1">
      <c r="BA151" s="25"/>
      <c r="BB151" s="31"/>
    </row>
    <row r="152" spans="53:54" ht="15.95" hidden="1" customHeight="1">
      <c r="BA152" s="25"/>
      <c r="BB152" s="31"/>
    </row>
    <row r="153" spans="53:54" ht="15.95" hidden="1" customHeight="1">
      <c r="BA153" s="25"/>
      <c r="BB153" s="31"/>
    </row>
    <row r="154" spans="53:54" ht="15.95" hidden="1" customHeight="1">
      <c r="BA154" s="25"/>
      <c r="BB154" s="31"/>
    </row>
    <row r="155" spans="53:54" ht="15.95" hidden="1" customHeight="1">
      <c r="BA155" s="25"/>
      <c r="BB155" s="31"/>
    </row>
    <row r="156" spans="53:54" ht="15.95" hidden="1" customHeight="1">
      <c r="BA156" s="25"/>
      <c r="BB156" s="31"/>
    </row>
    <row r="157" spans="53:54" ht="15.95" hidden="1" customHeight="1">
      <c r="BA157" s="25"/>
      <c r="BB157" s="31"/>
    </row>
    <row r="158" spans="53:54" ht="15.95" hidden="1" customHeight="1">
      <c r="BA158" s="25"/>
      <c r="BB158" s="31"/>
    </row>
    <row r="159" spans="53:54" ht="15.95" hidden="1" customHeight="1">
      <c r="BA159" s="25"/>
      <c r="BB159" s="31"/>
    </row>
    <row r="160" spans="53:54" ht="15.95" hidden="1" customHeight="1">
      <c r="BA160" s="25"/>
      <c r="BB160" s="31"/>
    </row>
    <row r="161" spans="53:54" ht="15.95" hidden="1" customHeight="1">
      <c r="BA161" s="25"/>
      <c r="BB161" s="31"/>
    </row>
    <row r="162" spans="53:54" ht="15.95" hidden="1" customHeight="1">
      <c r="BA162" s="25"/>
      <c r="BB162" s="31"/>
    </row>
    <row r="163" spans="53:54" ht="15.95" hidden="1" customHeight="1">
      <c r="BA163" s="25"/>
      <c r="BB163" s="31"/>
    </row>
    <row r="164" spans="53:54" ht="15.95" hidden="1" customHeight="1">
      <c r="BA164" s="25"/>
      <c r="BB164" s="31"/>
    </row>
    <row r="165" spans="53:54" ht="15.95" hidden="1" customHeight="1">
      <c r="BA165" s="25"/>
      <c r="BB165" s="31"/>
    </row>
    <row r="166" spans="53:54" ht="15.95" hidden="1" customHeight="1">
      <c r="BA166" s="25"/>
      <c r="BB166" s="31"/>
    </row>
    <row r="167" spans="53:54" ht="15.95" hidden="1" customHeight="1">
      <c r="BA167" s="25"/>
      <c r="BB167" s="31"/>
    </row>
    <row r="168" spans="53:54" ht="15.95" hidden="1" customHeight="1">
      <c r="BA168" s="25"/>
      <c r="BB168" s="31"/>
    </row>
    <row r="169" spans="53:54" ht="15.95" hidden="1" customHeight="1">
      <c r="BA169" s="25"/>
      <c r="BB169" s="31"/>
    </row>
    <row r="170" spans="53:54" ht="15.95" hidden="1" customHeight="1">
      <c r="BA170" s="25"/>
      <c r="BB170" s="31"/>
    </row>
    <row r="171" spans="53:54" ht="15.95" hidden="1" customHeight="1">
      <c r="BA171" s="25"/>
      <c r="BB171" s="31"/>
    </row>
    <row r="172" spans="53:54" ht="15.95" hidden="1" customHeight="1">
      <c r="BA172" s="25"/>
      <c r="BB172" s="31"/>
    </row>
    <row r="173" spans="53:54" ht="15.95" hidden="1" customHeight="1">
      <c r="BA173" s="25"/>
      <c r="BB173" s="31"/>
    </row>
    <row r="174" spans="53:54" ht="15.95" hidden="1" customHeight="1">
      <c r="BA174" s="25"/>
      <c r="BB174" s="31"/>
    </row>
    <row r="175" spans="53:54" ht="15.95" hidden="1" customHeight="1">
      <c r="BA175" s="25"/>
      <c r="BB175" s="31"/>
    </row>
    <row r="176" spans="53:54" ht="15.95" hidden="1" customHeight="1">
      <c r="BA176" s="25"/>
      <c r="BB176" s="31"/>
    </row>
    <row r="177" spans="53:54" ht="15.95" hidden="1" customHeight="1">
      <c r="BA177" s="25"/>
      <c r="BB177" s="31"/>
    </row>
    <row r="178" spans="53:54" ht="15.95" hidden="1" customHeight="1">
      <c r="BA178" s="25"/>
      <c r="BB178" s="31"/>
    </row>
    <row r="179" spans="53:54" ht="15.95" hidden="1" customHeight="1">
      <c r="BA179" s="25"/>
      <c r="BB179" s="31"/>
    </row>
    <row r="180" spans="53:54" ht="15.95" hidden="1" customHeight="1">
      <c r="BA180" s="25"/>
      <c r="BB180" s="31"/>
    </row>
    <row r="181" spans="53:54" ht="15.95" hidden="1" customHeight="1">
      <c r="BA181" s="25"/>
      <c r="BB181" s="31"/>
    </row>
    <row r="182" spans="53:54" ht="15.95" hidden="1" customHeight="1">
      <c r="BA182" s="25"/>
      <c r="BB182" s="31"/>
    </row>
    <row r="183" spans="53:54" ht="15.95" hidden="1" customHeight="1">
      <c r="BA183" s="25"/>
      <c r="BB183" s="31"/>
    </row>
    <row r="184" spans="53:54" ht="15.95" hidden="1" customHeight="1">
      <c r="BA184" s="25"/>
      <c r="BB184" s="31"/>
    </row>
    <row r="185" spans="53:54" ht="15.95" hidden="1" customHeight="1">
      <c r="BA185" s="25"/>
      <c r="BB185" s="31"/>
    </row>
    <row r="186" spans="53:54" ht="15.95" hidden="1" customHeight="1">
      <c r="BA186" s="25"/>
      <c r="BB186" s="31"/>
    </row>
    <row r="187" spans="53:54" ht="15.95" hidden="1" customHeight="1">
      <c r="BA187" s="25"/>
      <c r="BB187" s="31"/>
    </row>
    <row r="188" spans="53:54" ht="15.95" hidden="1" customHeight="1">
      <c r="BA188" s="25"/>
      <c r="BB188" s="31"/>
    </row>
    <row r="189" spans="53:54" ht="15.95" hidden="1" customHeight="1">
      <c r="BA189" s="25"/>
      <c r="BB189" s="31"/>
    </row>
    <row r="190" spans="53:54" ht="15.95" hidden="1" customHeight="1">
      <c r="BA190" s="25"/>
      <c r="BB190" s="31"/>
    </row>
    <row r="191" spans="53:54" ht="15.95" hidden="1" customHeight="1">
      <c r="BA191" s="25"/>
      <c r="BB191" s="31"/>
    </row>
    <row r="192" spans="53:54" ht="15.95" hidden="1" customHeight="1">
      <c r="BA192" s="25"/>
      <c r="BB192" s="31"/>
    </row>
    <row r="193" spans="1:54" ht="15.95" hidden="1" customHeight="1">
      <c r="BA193" s="25"/>
      <c r="BB193" s="31"/>
    </row>
    <row r="194" spans="1:54" ht="15.95" hidden="1" customHeight="1">
      <c r="BA194" s="25"/>
      <c r="BB194" s="31"/>
    </row>
    <row r="195" spans="1:54" ht="15.95" hidden="1" customHeight="1">
      <c r="BA195" s="25"/>
      <c r="BB195" s="31"/>
    </row>
    <row r="196" spans="1:54" ht="15.95" hidden="1" customHeight="1">
      <c r="BA196" s="25"/>
      <c r="BB196" s="31"/>
    </row>
    <row r="197" spans="1:54" ht="15.95" hidden="1" customHeight="1">
      <c r="BA197" s="25"/>
      <c r="BB197" s="31"/>
    </row>
    <row r="198" spans="1:54" ht="15.95" hidden="1" customHeight="1">
      <c r="BA198" s="25"/>
      <c r="BB198" s="31"/>
    </row>
    <row r="199" spans="1:54" ht="15.95" hidden="1" customHeight="1">
      <c r="BA199" s="25"/>
      <c r="BB199" s="31"/>
    </row>
    <row r="200" spans="1:54"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c r="AY200" s="1002">
        <f>SUM(AY88:AY199)</f>
        <v>0</v>
      </c>
      <c r="BA200" s="966">
        <f>SUM(BA88:BA199)</f>
        <v>0</v>
      </c>
      <c r="BB200" s="1003">
        <f>SUM(BB88:BB199)</f>
        <v>0</v>
      </c>
    </row>
    <row r="201" spans="1:54"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c r="AY201" s="1002"/>
      <c r="BA201" s="966"/>
      <c r="BB201" s="1003"/>
    </row>
    <row r="202" spans="1:54"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54" ht="15.95" hidden="1" customHeight="1"/>
    <row r="204" spans="1:54" ht="15.95" hidden="1" customHeight="1"/>
  </sheetData>
  <sheetProtection algorithmName="SHA-512" hashValue="jtA/7TOt5tD4KHoqdAaL+KdCxmRH/jfQXbKKBGhDclDfi/Si2LbsBL8sdlETCGiEQnaHXljtD7B7akfvIrOmEA==" saltValue="10f43SJC9U7rragccbzVMQ==" spinCount="100000" sheet="1" objects="1" scenarios="1" selectLockedCells="1"/>
  <mergeCells count="1430">
    <mergeCell ref="AA78:AD79"/>
    <mergeCell ref="AA80:AD81"/>
    <mergeCell ref="AA82:AD83"/>
    <mergeCell ref="AA84:AD85"/>
    <mergeCell ref="AA86:AD87"/>
    <mergeCell ref="X86:Z87"/>
    <mergeCell ref="AA16:AD17"/>
    <mergeCell ref="AA18:AD19"/>
    <mergeCell ref="AA20:AD21"/>
    <mergeCell ref="AA22:AD23"/>
    <mergeCell ref="AA24:AD25"/>
    <mergeCell ref="AA26:AD27"/>
    <mergeCell ref="AA28:AD29"/>
    <mergeCell ref="AA30:AD31"/>
    <mergeCell ref="AA32:AD33"/>
    <mergeCell ref="AA34:AD35"/>
    <mergeCell ref="AA36:AD37"/>
    <mergeCell ref="AA38:AD39"/>
    <mergeCell ref="AA40:AD41"/>
    <mergeCell ref="AA42:AD43"/>
    <mergeCell ref="AA44:AD45"/>
    <mergeCell ref="AA46:AD47"/>
    <mergeCell ref="AA48:AD49"/>
    <mergeCell ref="AA50:AD51"/>
    <mergeCell ref="AA52:AD53"/>
    <mergeCell ref="AA54:AD55"/>
    <mergeCell ref="AA56:AD57"/>
    <mergeCell ref="AA58:AD59"/>
    <mergeCell ref="AA60:AD61"/>
    <mergeCell ref="AA62:AD63"/>
    <mergeCell ref="AA64:AD65"/>
    <mergeCell ref="AA66:AD67"/>
    <mergeCell ref="AA68:AD69"/>
    <mergeCell ref="AA70:AD71"/>
    <mergeCell ref="AA72:AD73"/>
    <mergeCell ref="AA74:AD75"/>
    <mergeCell ref="AA76:AD77"/>
    <mergeCell ref="X52:Z53"/>
    <mergeCell ref="X54:Z55"/>
    <mergeCell ref="X56:Z57"/>
    <mergeCell ref="X58:Z59"/>
    <mergeCell ref="X60:Z61"/>
    <mergeCell ref="X62:Z63"/>
    <mergeCell ref="X64:Z65"/>
    <mergeCell ref="X66:Z67"/>
    <mergeCell ref="X68:Z69"/>
    <mergeCell ref="X70:Z71"/>
    <mergeCell ref="X72:Z73"/>
    <mergeCell ref="X74:Z75"/>
    <mergeCell ref="X76:Z77"/>
    <mergeCell ref="X78:Z79"/>
    <mergeCell ref="X80:Z81"/>
    <mergeCell ref="X82:Z83"/>
    <mergeCell ref="X84:Z85"/>
    <mergeCell ref="X18:Z19"/>
    <mergeCell ref="X20:Z21"/>
    <mergeCell ref="X22:Z23"/>
    <mergeCell ref="X24:Z25"/>
    <mergeCell ref="X26:Z27"/>
    <mergeCell ref="X28:Z29"/>
    <mergeCell ref="X30:Z31"/>
    <mergeCell ref="X32:Z33"/>
    <mergeCell ref="X34:Z35"/>
    <mergeCell ref="X36:Z37"/>
    <mergeCell ref="X38:Z39"/>
    <mergeCell ref="X40:Z41"/>
    <mergeCell ref="X42:Z43"/>
    <mergeCell ref="X44:Z45"/>
    <mergeCell ref="X46:Z47"/>
    <mergeCell ref="X48:Z49"/>
    <mergeCell ref="X50:Z51"/>
    <mergeCell ref="F1:I3"/>
    <mergeCell ref="J1:M3"/>
    <mergeCell ref="O1:AE3"/>
    <mergeCell ref="AL1:AO3"/>
    <mergeCell ref="AP1:AS3"/>
    <mergeCell ref="AT1:AW3"/>
    <mergeCell ref="BR84:BR85"/>
    <mergeCell ref="BR86:BR87"/>
    <mergeCell ref="BR50:BR51"/>
    <mergeCell ref="BR52:BR53"/>
    <mergeCell ref="BR54:BR55"/>
    <mergeCell ref="BR56:BR57"/>
    <mergeCell ref="BR58:BR59"/>
    <mergeCell ref="BR60:BR61"/>
    <mergeCell ref="BR62:BR63"/>
    <mergeCell ref="BR64:BR65"/>
    <mergeCell ref="BR66:BR67"/>
    <mergeCell ref="BR68:BR69"/>
    <mergeCell ref="BR70:BR71"/>
    <mergeCell ref="BR72:BR73"/>
    <mergeCell ref="BR74:BR75"/>
    <mergeCell ref="BR76:BR77"/>
    <mergeCell ref="BR78:BR79"/>
    <mergeCell ref="BR80:BR81"/>
    <mergeCell ref="BR82:BR83"/>
    <mergeCell ref="BR16:BR17"/>
    <mergeCell ref="BR18:BR19"/>
    <mergeCell ref="BR20:BR21"/>
    <mergeCell ref="BR22:BR23"/>
    <mergeCell ref="BR24:BR25"/>
    <mergeCell ref="BR26:BR27"/>
    <mergeCell ref="BR28:BR29"/>
    <mergeCell ref="BJ82:BJ83"/>
    <mergeCell ref="BJ84:BJ85"/>
    <mergeCell ref="BJ86:BJ87"/>
    <mergeCell ref="BH78:BH79"/>
    <mergeCell ref="BH80:BH81"/>
    <mergeCell ref="BH82:BH83"/>
    <mergeCell ref="BH84:BH85"/>
    <mergeCell ref="BH86:BH87"/>
    <mergeCell ref="BJ56:BJ57"/>
    <mergeCell ref="BJ58:BJ59"/>
    <mergeCell ref="BJ60:BJ61"/>
    <mergeCell ref="BJ62:BJ63"/>
    <mergeCell ref="BJ64:BJ65"/>
    <mergeCell ref="BI52:BI53"/>
    <mergeCell ref="BJ66:BJ67"/>
    <mergeCell ref="BJ68:BJ69"/>
    <mergeCell ref="BJ70:BJ71"/>
    <mergeCell ref="BJ72:BJ73"/>
    <mergeCell ref="BJ74:BJ75"/>
    <mergeCell ref="BH58:BH59"/>
    <mergeCell ref="BH60:BH61"/>
    <mergeCell ref="BH62:BH63"/>
    <mergeCell ref="BH64:BH65"/>
    <mergeCell ref="BH66:BH67"/>
    <mergeCell ref="BH68:BH69"/>
    <mergeCell ref="BH70:BH71"/>
    <mergeCell ref="BH72:BH73"/>
    <mergeCell ref="BH74:BH75"/>
    <mergeCell ref="BI60:BI61"/>
    <mergeCell ref="BR30:BR31"/>
    <mergeCell ref="BR32:BR33"/>
    <mergeCell ref="BR34:BR35"/>
    <mergeCell ref="BR36:BR37"/>
    <mergeCell ref="BR38:BR39"/>
    <mergeCell ref="BR40:BR41"/>
    <mergeCell ref="BR42:BR43"/>
    <mergeCell ref="BR44:BR45"/>
    <mergeCell ref="BR46:BR47"/>
    <mergeCell ref="BR48:BR49"/>
    <mergeCell ref="BO46:BO47"/>
    <mergeCell ref="BP46:BP47"/>
    <mergeCell ref="BN48:BN49"/>
    <mergeCell ref="BO48:BO49"/>
    <mergeCell ref="BP48:BP49"/>
    <mergeCell ref="BN50:BN51"/>
    <mergeCell ref="BJ78:BJ79"/>
    <mergeCell ref="BJ50:BJ51"/>
    <mergeCell ref="BJ52:BJ53"/>
    <mergeCell ref="BJ54:BJ55"/>
    <mergeCell ref="BQ62:BQ63"/>
    <mergeCell ref="BQ64:BQ65"/>
    <mergeCell ref="BQ66:BQ67"/>
    <mergeCell ref="BN64:BN65"/>
    <mergeCell ref="BO64:BO65"/>
    <mergeCell ref="BP64:BP65"/>
    <mergeCell ref="BN66:BN67"/>
    <mergeCell ref="BO66:BO67"/>
    <mergeCell ref="BP66:BP67"/>
    <mergeCell ref="BO40:BO41"/>
    <mergeCell ref="BP40:BP41"/>
    <mergeCell ref="BN42:BN43"/>
    <mergeCell ref="BH16:BH17"/>
    <mergeCell ref="BH18:BH19"/>
    <mergeCell ref="BH20:BH21"/>
    <mergeCell ref="BH44:BH45"/>
    <mergeCell ref="BJ24:BJ25"/>
    <mergeCell ref="BJ26:BJ27"/>
    <mergeCell ref="BJ28:BJ29"/>
    <mergeCell ref="BJ30:BJ31"/>
    <mergeCell ref="BJ32:BJ33"/>
    <mergeCell ref="BJ34:BJ35"/>
    <mergeCell ref="BJ36:BJ37"/>
    <mergeCell ref="BJ38:BJ39"/>
    <mergeCell ref="BJ40:BJ41"/>
    <mergeCell ref="BJ42:BJ43"/>
    <mergeCell ref="BJ44:BJ45"/>
    <mergeCell ref="BJ46:BJ47"/>
    <mergeCell ref="BJ48:BJ49"/>
    <mergeCell ref="BJ16:BJ17"/>
    <mergeCell ref="BJ18:BJ19"/>
    <mergeCell ref="BJ20:BJ21"/>
    <mergeCell ref="BH22:BH23"/>
    <mergeCell ref="BH24:BH25"/>
    <mergeCell ref="BH26:BH27"/>
    <mergeCell ref="BH28:BH29"/>
    <mergeCell ref="BH30:BH31"/>
    <mergeCell ref="BH32:BH33"/>
    <mergeCell ref="BH34:BH35"/>
    <mergeCell ref="BH36:BH37"/>
    <mergeCell ref="BH38:BH39"/>
    <mergeCell ref="BH40:BH41"/>
    <mergeCell ref="BH42:BH43"/>
    <mergeCell ref="BI32:BI33"/>
    <mergeCell ref="BQ86:BQ87"/>
    <mergeCell ref="BQ28:BQ29"/>
    <mergeCell ref="BQ30:BQ31"/>
    <mergeCell ref="BQ32:BQ33"/>
    <mergeCell ref="BQ34:BQ35"/>
    <mergeCell ref="BQ36:BQ37"/>
    <mergeCell ref="BQ38:BQ39"/>
    <mergeCell ref="BQ40:BQ41"/>
    <mergeCell ref="BQ42:BQ43"/>
    <mergeCell ref="BQ44:BQ45"/>
    <mergeCell ref="BQ46:BQ47"/>
    <mergeCell ref="BQ48:BQ49"/>
    <mergeCell ref="BQ50:BQ51"/>
    <mergeCell ref="BQ52:BQ53"/>
    <mergeCell ref="BQ54:BQ55"/>
    <mergeCell ref="BQ56:BQ57"/>
    <mergeCell ref="BQ58:BQ59"/>
    <mergeCell ref="BQ60:BQ61"/>
    <mergeCell ref="BN86:BN87"/>
    <mergeCell ref="BO86:BO87"/>
    <mergeCell ref="BP86:BP87"/>
    <mergeCell ref="BN70:BN71"/>
    <mergeCell ref="BO70:BO71"/>
    <mergeCell ref="BP70:BP71"/>
    <mergeCell ref="BN72:BN73"/>
    <mergeCell ref="BO72:BO73"/>
    <mergeCell ref="BP72:BP73"/>
    <mergeCell ref="BN74:BN75"/>
    <mergeCell ref="BO74:BO75"/>
    <mergeCell ref="BP74:BP75"/>
    <mergeCell ref="BO42:BO43"/>
    <mergeCell ref="BP42:BP43"/>
    <mergeCell ref="BN44:BN45"/>
    <mergeCell ref="BO44:BO45"/>
    <mergeCell ref="BP44:BP45"/>
    <mergeCell ref="BN46:BN47"/>
    <mergeCell ref="BN62:BN63"/>
    <mergeCell ref="BO62:BO63"/>
    <mergeCell ref="BP62:BP63"/>
    <mergeCell ref="BO76:BO77"/>
    <mergeCell ref="BP76:BP77"/>
    <mergeCell ref="BN78:BN79"/>
    <mergeCell ref="BO78:BO79"/>
    <mergeCell ref="BP78:BP79"/>
    <mergeCell ref="BN80:BN81"/>
    <mergeCell ref="BO80:BO81"/>
    <mergeCell ref="BP80:BP81"/>
    <mergeCell ref="BN82:BN83"/>
    <mergeCell ref="BO82:BO83"/>
    <mergeCell ref="BP82:BP83"/>
    <mergeCell ref="BN84:BN85"/>
    <mergeCell ref="BO84:BO85"/>
    <mergeCell ref="BP84:BP85"/>
    <mergeCell ref="BQ68:BQ69"/>
    <mergeCell ref="BQ70:BQ71"/>
    <mergeCell ref="BQ72:BQ73"/>
    <mergeCell ref="BQ74:BQ75"/>
    <mergeCell ref="BQ76:BQ77"/>
    <mergeCell ref="BQ78:BQ79"/>
    <mergeCell ref="BQ80:BQ81"/>
    <mergeCell ref="BQ82:BQ83"/>
    <mergeCell ref="BQ84:BQ85"/>
    <mergeCell ref="BO30:BO31"/>
    <mergeCell ref="BP30:BP31"/>
    <mergeCell ref="BN32:BN33"/>
    <mergeCell ref="BO32:BO33"/>
    <mergeCell ref="BP32:BP33"/>
    <mergeCell ref="BN34:BN35"/>
    <mergeCell ref="BO34:BO35"/>
    <mergeCell ref="BP34:BP35"/>
    <mergeCell ref="BN36:BN37"/>
    <mergeCell ref="BO36:BO37"/>
    <mergeCell ref="BP36:BP37"/>
    <mergeCell ref="BN38:BN39"/>
    <mergeCell ref="BO38:BO39"/>
    <mergeCell ref="BP38:BP39"/>
    <mergeCell ref="BN68:BN69"/>
    <mergeCell ref="BO68:BO69"/>
    <mergeCell ref="BP68:BP69"/>
    <mergeCell ref="BN52:BN53"/>
    <mergeCell ref="BO52:BO53"/>
    <mergeCell ref="BP52:BP53"/>
    <mergeCell ref="BN54:BN55"/>
    <mergeCell ref="BO54:BO55"/>
    <mergeCell ref="BP54:BP55"/>
    <mergeCell ref="BN56:BN57"/>
    <mergeCell ref="BO56:BO57"/>
    <mergeCell ref="BP56:BP57"/>
    <mergeCell ref="BN58:BN59"/>
    <mergeCell ref="BO58:BO59"/>
    <mergeCell ref="BP58:BP59"/>
    <mergeCell ref="BN60:BN61"/>
    <mergeCell ref="BO60:BO61"/>
    <mergeCell ref="BP60:BP61"/>
    <mergeCell ref="BC86:BC87"/>
    <mergeCell ref="BD86:BD87"/>
    <mergeCell ref="BN16:BN17"/>
    <mergeCell ref="BO16:BO17"/>
    <mergeCell ref="BP16:BP17"/>
    <mergeCell ref="BO50:BO51"/>
    <mergeCell ref="BP50:BP51"/>
    <mergeCell ref="BN28:BN29"/>
    <mergeCell ref="BO28:BO29"/>
    <mergeCell ref="BP28:BP29"/>
    <mergeCell ref="BN30:BN31"/>
    <mergeCell ref="BL78:BL79"/>
    <mergeCell ref="BM78:BM79"/>
    <mergeCell ref="BL76:BL77"/>
    <mergeCell ref="BM76:BM77"/>
    <mergeCell ref="BE60:BE61"/>
    <mergeCell ref="BF60:BF61"/>
    <mergeCell ref="BM66:BM67"/>
    <mergeCell ref="BL64:BL65"/>
    <mergeCell ref="BM64:BM65"/>
    <mergeCell ref="BQ16:BQ17"/>
    <mergeCell ref="BN18:BN19"/>
    <mergeCell ref="BO18:BO19"/>
    <mergeCell ref="BP18:BP19"/>
    <mergeCell ref="BN20:BN21"/>
    <mergeCell ref="BO20:BO21"/>
    <mergeCell ref="BP20:BP21"/>
    <mergeCell ref="BN22:BN23"/>
    <mergeCell ref="BO22:BO23"/>
    <mergeCell ref="BP22:BP23"/>
    <mergeCell ref="BN24:BN25"/>
    <mergeCell ref="BO24:BO25"/>
    <mergeCell ref="BP24:BP25"/>
    <mergeCell ref="BN26:BN27"/>
    <mergeCell ref="BO26:BO27"/>
    <mergeCell ref="BP26:BP27"/>
    <mergeCell ref="BQ18:BQ19"/>
    <mergeCell ref="BQ20:BQ21"/>
    <mergeCell ref="BQ22:BQ23"/>
    <mergeCell ref="BQ24:BQ25"/>
    <mergeCell ref="BQ26:BQ27"/>
    <mergeCell ref="BA84:BA85"/>
    <mergeCell ref="BB84:BB85"/>
    <mergeCell ref="BE86:BE87"/>
    <mergeCell ref="BF86:BF87"/>
    <mergeCell ref="BG86:BG87"/>
    <mergeCell ref="BI86:BI87"/>
    <mergeCell ref="BK86:BK87"/>
    <mergeCell ref="BL86:BL87"/>
    <mergeCell ref="BM86:BM87"/>
    <mergeCell ref="BS86:BS87"/>
    <mergeCell ref="BT86:BT87"/>
    <mergeCell ref="BS84:BS85"/>
    <mergeCell ref="BT84:BT85"/>
    <mergeCell ref="B86:B87"/>
    <mergeCell ref="C86:I87"/>
    <mergeCell ref="J86:K87"/>
    <mergeCell ref="L86:M87"/>
    <mergeCell ref="N86:O87"/>
    <mergeCell ref="P86:Q87"/>
    <mergeCell ref="R86:S87"/>
    <mergeCell ref="T86:U87"/>
    <mergeCell ref="V86:W87"/>
    <mergeCell ref="AE86:AF87"/>
    <mergeCell ref="AG86:AH87"/>
    <mergeCell ref="AI86:AL87"/>
    <mergeCell ref="AM86:AN87"/>
    <mergeCell ref="AO86:AQ87"/>
    <mergeCell ref="AR86:AU87"/>
    <mergeCell ref="AY86:AY87"/>
    <mergeCell ref="AZ86:AZ87"/>
    <mergeCell ref="BA86:BA87"/>
    <mergeCell ref="BB86:BB87"/>
    <mergeCell ref="AY82:AY83"/>
    <mergeCell ref="AZ82:AZ83"/>
    <mergeCell ref="BC84:BC85"/>
    <mergeCell ref="BD84:BD85"/>
    <mergeCell ref="BE84:BE85"/>
    <mergeCell ref="BF84:BF85"/>
    <mergeCell ref="BG84:BG85"/>
    <mergeCell ref="BI84:BI85"/>
    <mergeCell ref="BK84:BK85"/>
    <mergeCell ref="BL84:BL85"/>
    <mergeCell ref="BM84:BM85"/>
    <mergeCell ref="BL82:BL83"/>
    <mergeCell ref="BM82:BM83"/>
    <mergeCell ref="BS82:BS83"/>
    <mergeCell ref="BT82:BT83"/>
    <mergeCell ref="B84:B85"/>
    <mergeCell ref="C84:I85"/>
    <mergeCell ref="J84:K85"/>
    <mergeCell ref="L84:M85"/>
    <mergeCell ref="N84:O85"/>
    <mergeCell ref="P84:Q85"/>
    <mergeCell ref="R84:S85"/>
    <mergeCell ref="T84:U85"/>
    <mergeCell ref="V84:W85"/>
    <mergeCell ref="AE84:AF85"/>
    <mergeCell ref="AG84:AH85"/>
    <mergeCell ref="AI84:AL85"/>
    <mergeCell ref="AM84:AN85"/>
    <mergeCell ref="AO84:AQ85"/>
    <mergeCell ref="AR84:AU85"/>
    <mergeCell ref="AY84:AY85"/>
    <mergeCell ref="AZ84:AZ85"/>
    <mergeCell ref="B82:B83"/>
    <mergeCell ref="C82:I83"/>
    <mergeCell ref="J82:K83"/>
    <mergeCell ref="L82:M83"/>
    <mergeCell ref="N82:O83"/>
    <mergeCell ref="P82:Q83"/>
    <mergeCell ref="R82:S83"/>
    <mergeCell ref="T82:U83"/>
    <mergeCell ref="V82:W83"/>
    <mergeCell ref="BE80:BE81"/>
    <mergeCell ref="BF80:BF81"/>
    <mergeCell ref="BG80:BG81"/>
    <mergeCell ref="BI80:BI81"/>
    <mergeCell ref="BK80:BK81"/>
    <mergeCell ref="BL80:BL81"/>
    <mergeCell ref="BM80:BM81"/>
    <mergeCell ref="BS80:BS81"/>
    <mergeCell ref="BA82:BA83"/>
    <mergeCell ref="BB82:BB83"/>
    <mergeCell ref="BC82:BC83"/>
    <mergeCell ref="BD82:BD83"/>
    <mergeCell ref="BE82:BE83"/>
    <mergeCell ref="BF82:BF83"/>
    <mergeCell ref="BG82:BG83"/>
    <mergeCell ref="BI82:BI83"/>
    <mergeCell ref="BK82:BK83"/>
    <mergeCell ref="AE82:AF83"/>
    <mergeCell ref="AG82:AH83"/>
    <mergeCell ref="AI82:AL83"/>
    <mergeCell ref="AM82:AN83"/>
    <mergeCell ref="AO82:AQ83"/>
    <mergeCell ref="AR82:AU83"/>
    <mergeCell ref="BT80:BT81"/>
    <mergeCell ref="BS78:BS79"/>
    <mergeCell ref="BT78:BT79"/>
    <mergeCell ref="B80:B81"/>
    <mergeCell ref="C80:I81"/>
    <mergeCell ref="J80:K81"/>
    <mergeCell ref="L80:M81"/>
    <mergeCell ref="N80:O81"/>
    <mergeCell ref="P80:Q81"/>
    <mergeCell ref="R80:S81"/>
    <mergeCell ref="T80:U81"/>
    <mergeCell ref="V80:W81"/>
    <mergeCell ref="AE80:AF81"/>
    <mergeCell ref="AG80:AH81"/>
    <mergeCell ref="AI80:AL81"/>
    <mergeCell ref="AM80:AN81"/>
    <mergeCell ref="AO80:AQ81"/>
    <mergeCell ref="AR80:AU81"/>
    <mergeCell ref="AY80:AY81"/>
    <mergeCell ref="AZ80:AZ81"/>
    <mergeCell ref="BA80:BA81"/>
    <mergeCell ref="BB80:BB81"/>
    <mergeCell ref="BC80:BC81"/>
    <mergeCell ref="BD80:BD81"/>
    <mergeCell ref="BC78:BC79"/>
    <mergeCell ref="BD78:BD79"/>
    <mergeCell ref="BE78:BE79"/>
    <mergeCell ref="BF78:BF79"/>
    <mergeCell ref="BG78:BG79"/>
    <mergeCell ref="BI78:BI79"/>
    <mergeCell ref="BK78:BK79"/>
    <mergeCell ref="BJ80:BJ81"/>
    <mergeCell ref="BS76:BS77"/>
    <mergeCell ref="BT76:BT77"/>
    <mergeCell ref="B78:B79"/>
    <mergeCell ref="C78:I79"/>
    <mergeCell ref="J78:K79"/>
    <mergeCell ref="L78:M79"/>
    <mergeCell ref="N78:O79"/>
    <mergeCell ref="P78:Q79"/>
    <mergeCell ref="R78:S79"/>
    <mergeCell ref="T78:U79"/>
    <mergeCell ref="V78:W79"/>
    <mergeCell ref="AE78:AF79"/>
    <mergeCell ref="AG78:AH79"/>
    <mergeCell ref="AI78:AL79"/>
    <mergeCell ref="AM78:AN79"/>
    <mergeCell ref="AO78:AQ79"/>
    <mergeCell ref="AR78:AU79"/>
    <mergeCell ref="AY78:AY79"/>
    <mergeCell ref="AZ78:AZ79"/>
    <mergeCell ref="BA78:BA79"/>
    <mergeCell ref="BB78:BB79"/>
    <mergeCell ref="BA76:BA77"/>
    <mergeCell ref="BB76:BB77"/>
    <mergeCell ref="BC76:BC77"/>
    <mergeCell ref="BD76:BD77"/>
    <mergeCell ref="BG76:BG77"/>
    <mergeCell ref="BI76:BI77"/>
    <mergeCell ref="BN76:BN77"/>
    <mergeCell ref="BK76:BK77"/>
    <mergeCell ref="AE76:AF77"/>
    <mergeCell ref="AG76:AH77"/>
    <mergeCell ref="AI76:AL77"/>
    <mergeCell ref="AM76:AN77"/>
    <mergeCell ref="AO76:AQ77"/>
    <mergeCell ref="AR76:AU77"/>
    <mergeCell ref="AY76:AY77"/>
    <mergeCell ref="AZ76:AZ77"/>
    <mergeCell ref="B76:B77"/>
    <mergeCell ref="C76:I77"/>
    <mergeCell ref="J76:K77"/>
    <mergeCell ref="L76:M77"/>
    <mergeCell ref="N76:O77"/>
    <mergeCell ref="P76:Q77"/>
    <mergeCell ref="R76:S77"/>
    <mergeCell ref="T76:U77"/>
    <mergeCell ref="V76:W77"/>
    <mergeCell ref="BE76:BE77"/>
    <mergeCell ref="BF76:BF77"/>
    <mergeCell ref="BJ76:BJ77"/>
    <mergeCell ref="BH76:BH77"/>
    <mergeCell ref="AE74:AF75"/>
    <mergeCell ref="AG74:AH75"/>
    <mergeCell ref="AI74:AL75"/>
    <mergeCell ref="AM74:AN75"/>
    <mergeCell ref="AO74:AQ75"/>
    <mergeCell ref="AR74:AU75"/>
    <mergeCell ref="AY74:AY75"/>
    <mergeCell ref="B72:B73"/>
    <mergeCell ref="C72:I73"/>
    <mergeCell ref="J72:K73"/>
    <mergeCell ref="L72:M73"/>
    <mergeCell ref="N72:O73"/>
    <mergeCell ref="P72:Q73"/>
    <mergeCell ref="R72:S73"/>
    <mergeCell ref="T72:U73"/>
    <mergeCell ref="V72:W73"/>
    <mergeCell ref="AE72:AF73"/>
    <mergeCell ref="AG72:AH73"/>
    <mergeCell ref="AI72:AL73"/>
    <mergeCell ref="AM72:AN73"/>
    <mergeCell ref="AO72:AQ73"/>
    <mergeCell ref="AR72:AU73"/>
    <mergeCell ref="AY72:AY73"/>
    <mergeCell ref="B74:B75"/>
    <mergeCell ref="C74:I75"/>
    <mergeCell ref="J74:K75"/>
    <mergeCell ref="L74:M75"/>
    <mergeCell ref="N74:O75"/>
    <mergeCell ref="P74:Q75"/>
    <mergeCell ref="R74:S75"/>
    <mergeCell ref="T74:U75"/>
    <mergeCell ref="V74:W75"/>
    <mergeCell ref="AY70:AY71"/>
    <mergeCell ref="AZ70:AZ71"/>
    <mergeCell ref="BD74:BD75"/>
    <mergeCell ref="BC72:BC73"/>
    <mergeCell ref="BD72:BD73"/>
    <mergeCell ref="BE72:BE73"/>
    <mergeCell ref="BF72:BF73"/>
    <mergeCell ref="BG72:BG73"/>
    <mergeCell ref="BI72:BI73"/>
    <mergeCell ref="BK72:BK73"/>
    <mergeCell ref="BL72:BL73"/>
    <mergeCell ref="BM72:BM73"/>
    <mergeCell ref="BL70:BL71"/>
    <mergeCell ref="BM70:BM71"/>
    <mergeCell ref="BS70:BS71"/>
    <mergeCell ref="BT70:BT71"/>
    <mergeCell ref="AZ72:AZ73"/>
    <mergeCell ref="BE74:BE75"/>
    <mergeCell ref="BF74:BF75"/>
    <mergeCell ref="BG74:BG75"/>
    <mergeCell ref="BI74:BI75"/>
    <mergeCell ref="BK74:BK75"/>
    <mergeCell ref="BL74:BL75"/>
    <mergeCell ref="BM74:BM75"/>
    <mergeCell ref="BS74:BS75"/>
    <mergeCell ref="BT74:BT75"/>
    <mergeCell ref="BS72:BS73"/>
    <mergeCell ref="BT72:BT73"/>
    <mergeCell ref="AZ74:AZ75"/>
    <mergeCell ref="BA74:BA75"/>
    <mergeCell ref="BB74:BB75"/>
    <mergeCell ref="BC74:BC75"/>
    <mergeCell ref="B70:B71"/>
    <mergeCell ref="C70:I71"/>
    <mergeCell ref="J70:K71"/>
    <mergeCell ref="L70:M71"/>
    <mergeCell ref="N70:O71"/>
    <mergeCell ref="P70:Q71"/>
    <mergeCell ref="R70:S71"/>
    <mergeCell ref="T70:U71"/>
    <mergeCell ref="V70:W71"/>
    <mergeCell ref="BE68:BE69"/>
    <mergeCell ref="BF68:BF69"/>
    <mergeCell ref="BG68:BG69"/>
    <mergeCell ref="BI68:BI69"/>
    <mergeCell ref="BK68:BK69"/>
    <mergeCell ref="BL68:BL69"/>
    <mergeCell ref="BM68:BM69"/>
    <mergeCell ref="BS68:BS69"/>
    <mergeCell ref="BA70:BA71"/>
    <mergeCell ref="BB70:BB71"/>
    <mergeCell ref="BC70:BC71"/>
    <mergeCell ref="BD70:BD71"/>
    <mergeCell ref="BE70:BE71"/>
    <mergeCell ref="BF70:BF71"/>
    <mergeCell ref="BG70:BG71"/>
    <mergeCell ref="BI70:BI71"/>
    <mergeCell ref="BK70:BK71"/>
    <mergeCell ref="AE70:AF71"/>
    <mergeCell ref="AG70:AH71"/>
    <mergeCell ref="AI70:AL71"/>
    <mergeCell ref="AM70:AN71"/>
    <mergeCell ref="AO70:AQ71"/>
    <mergeCell ref="AR70:AU71"/>
    <mergeCell ref="BT68:BT69"/>
    <mergeCell ref="BS66:BS67"/>
    <mergeCell ref="BT66:BT67"/>
    <mergeCell ref="B68:B69"/>
    <mergeCell ref="C68:I69"/>
    <mergeCell ref="J68:K69"/>
    <mergeCell ref="L68:M69"/>
    <mergeCell ref="N68:O69"/>
    <mergeCell ref="P68:Q69"/>
    <mergeCell ref="R68:S69"/>
    <mergeCell ref="T68:U69"/>
    <mergeCell ref="V68:W69"/>
    <mergeCell ref="AE68:AF69"/>
    <mergeCell ref="AG68:AH69"/>
    <mergeCell ref="AI68:AL69"/>
    <mergeCell ref="AM68:AN69"/>
    <mergeCell ref="AO68:AQ69"/>
    <mergeCell ref="AR68:AU69"/>
    <mergeCell ref="AY68:AY69"/>
    <mergeCell ref="AZ68:AZ69"/>
    <mergeCell ref="BA68:BA69"/>
    <mergeCell ref="BB68:BB69"/>
    <mergeCell ref="BC68:BC69"/>
    <mergeCell ref="BD68:BD69"/>
    <mergeCell ref="BC66:BC67"/>
    <mergeCell ref="BD66:BD67"/>
    <mergeCell ref="BE66:BE67"/>
    <mergeCell ref="BF66:BF67"/>
    <mergeCell ref="BG66:BG67"/>
    <mergeCell ref="BI66:BI67"/>
    <mergeCell ref="BK66:BK67"/>
    <mergeCell ref="BL66:BL67"/>
    <mergeCell ref="BS64:BS65"/>
    <mergeCell ref="BT64:BT65"/>
    <mergeCell ref="B66:B67"/>
    <mergeCell ref="C66:I67"/>
    <mergeCell ref="J66:K67"/>
    <mergeCell ref="L66:M67"/>
    <mergeCell ref="N66:O67"/>
    <mergeCell ref="P66:Q67"/>
    <mergeCell ref="R66:S67"/>
    <mergeCell ref="T66:U67"/>
    <mergeCell ref="V66:W67"/>
    <mergeCell ref="AE66:AF67"/>
    <mergeCell ref="AG66:AH67"/>
    <mergeCell ref="AI66:AL67"/>
    <mergeCell ref="AM66:AN67"/>
    <mergeCell ref="AO66:AQ67"/>
    <mergeCell ref="AR66:AU67"/>
    <mergeCell ref="AY66:AY67"/>
    <mergeCell ref="AZ66:AZ67"/>
    <mergeCell ref="BA66:BA67"/>
    <mergeCell ref="BB66:BB67"/>
    <mergeCell ref="BA64:BA65"/>
    <mergeCell ref="BB64:BB65"/>
    <mergeCell ref="BC64:BC65"/>
    <mergeCell ref="BD64:BD65"/>
    <mergeCell ref="BE64:BE65"/>
    <mergeCell ref="BF64:BF65"/>
    <mergeCell ref="BK64:BK65"/>
    <mergeCell ref="AE64:AF65"/>
    <mergeCell ref="AG64:AH65"/>
    <mergeCell ref="AI64:AL65"/>
    <mergeCell ref="AM64:AN65"/>
    <mergeCell ref="AO64:AQ65"/>
    <mergeCell ref="AR64:AU65"/>
    <mergeCell ref="AY64:AY65"/>
    <mergeCell ref="AZ64:AZ65"/>
    <mergeCell ref="B64:B65"/>
    <mergeCell ref="C64:I65"/>
    <mergeCell ref="J64:K65"/>
    <mergeCell ref="L64:M65"/>
    <mergeCell ref="N64:O65"/>
    <mergeCell ref="P64:Q65"/>
    <mergeCell ref="R64:S65"/>
    <mergeCell ref="T64:U65"/>
    <mergeCell ref="V64:W65"/>
    <mergeCell ref="BG64:BG65"/>
    <mergeCell ref="BI64:BI65"/>
    <mergeCell ref="BL62:BL63"/>
    <mergeCell ref="BM62:BM63"/>
    <mergeCell ref="BS62:BS63"/>
    <mergeCell ref="BT62:BT63"/>
    <mergeCell ref="BS60:BS61"/>
    <mergeCell ref="BT60:BT61"/>
    <mergeCell ref="B62:B63"/>
    <mergeCell ref="C62:I63"/>
    <mergeCell ref="J62:K63"/>
    <mergeCell ref="L62:M63"/>
    <mergeCell ref="N62:O63"/>
    <mergeCell ref="P62:Q63"/>
    <mergeCell ref="R62:S63"/>
    <mergeCell ref="T62:U63"/>
    <mergeCell ref="V62:W63"/>
    <mergeCell ref="AE62:AF63"/>
    <mergeCell ref="AG62:AH63"/>
    <mergeCell ref="AI62:AL63"/>
    <mergeCell ref="AM62:AN63"/>
    <mergeCell ref="AO62:AQ63"/>
    <mergeCell ref="AR62:AU63"/>
    <mergeCell ref="AY62:AY63"/>
    <mergeCell ref="AZ62:AZ63"/>
    <mergeCell ref="BA62:BA63"/>
    <mergeCell ref="BB62:BB63"/>
    <mergeCell ref="BC62:BC63"/>
    <mergeCell ref="BL60:BL61"/>
    <mergeCell ref="BM60:BM61"/>
    <mergeCell ref="BG60:BG61"/>
    <mergeCell ref="BK60:BK61"/>
    <mergeCell ref="BE62:BE63"/>
    <mergeCell ref="BD62:BD63"/>
    <mergeCell ref="BL58:BL59"/>
    <mergeCell ref="BM58:BM59"/>
    <mergeCell ref="BS58:BS59"/>
    <mergeCell ref="BT58:BT59"/>
    <mergeCell ref="B60:B61"/>
    <mergeCell ref="C60:I61"/>
    <mergeCell ref="J60:K61"/>
    <mergeCell ref="L60:M61"/>
    <mergeCell ref="N60:O61"/>
    <mergeCell ref="P60:Q61"/>
    <mergeCell ref="R60:S61"/>
    <mergeCell ref="T60:U61"/>
    <mergeCell ref="V60:W61"/>
    <mergeCell ref="AE60:AF61"/>
    <mergeCell ref="AG60:AH61"/>
    <mergeCell ref="AI60:AL61"/>
    <mergeCell ref="AM60:AN61"/>
    <mergeCell ref="AO60:AQ61"/>
    <mergeCell ref="AR60:AU61"/>
    <mergeCell ref="AY60:AY61"/>
    <mergeCell ref="AZ60:AZ61"/>
    <mergeCell ref="BG58:BG59"/>
    <mergeCell ref="BI58:BI59"/>
    <mergeCell ref="BK58:BK59"/>
    <mergeCell ref="AE58:AF59"/>
    <mergeCell ref="AG58:AH59"/>
    <mergeCell ref="AI58:AL59"/>
    <mergeCell ref="AM58:AN59"/>
    <mergeCell ref="AO58:AQ59"/>
    <mergeCell ref="AR58:AU59"/>
    <mergeCell ref="BC60:BC61"/>
    <mergeCell ref="BD60:BD61"/>
    <mergeCell ref="BG38:BG39"/>
    <mergeCell ref="BI38:BI39"/>
    <mergeCell ref="BK38:BK39"/>
    <mergeCell ref="BG52:BG53"/>
    <mergeCell ref="BN40:BN41"/>
    <mergeCell ref="BG56:BG57"/>
    <mergeCell ref="BF62:BF63"/>
    <mergeCell ref="BG62:BG63"/>
    <mergeCell ref="BI62:BI63"/>
    <mergeCell ref="BK62:BK63"/>
    <mergeCell ref="B58:B59"/>
    <mergeCell ref="C58:I59"/>
    <mergeCell ref="J58:K59"/>
    <mergeCell ref="L58:M59"/>
    <mergeCell ref="N58:O59"/>
    <mergeCell ref="P58:Q59"/>
    <mergeCell ref="R58:S59"/>
    <mergeCell ref="T58:U59"/>
    <mergeCell ref="V58:W59"/>
    <mergeCell ref="BD58:BD59"/>
    <mergeCell ref="BE58:BE59"/>
    <mergeCell ref="BF58:BF59"/>
    <mergeCell ref="BI56:BI57"/>
    <mergeCell ref="BK56:BK57"/>
    <mergeCell ref="B56:B57"/>
    <mergeCell ref="C56:I57"/>
    <mergeCell ref="J56:K57"/>
    <mergeCell ref="L56:M57"/>
    <mergeCell ref="N56:O57"/>
    <mergeCell ref="P56:Q57"/>
    <mergeCell ref="AY58:AY59"/>
    <mergeCell ref="AZ58:AZ59"/>
    <mergeCell ref="BT40:BT41"/>
    <mergeCell ref="BT42:BT43"/>
    <mergeCell ref="BT44:BT45"/>
    <mergeCell ref="BT46:BT47"/>
    <mergeCell ref="BT48:BT49"/>
    <mergeCell ref="BT50:BT51"/>
    <mergeCell ref="BL56:BL57"/>
    <mergeCell ref="BM56:BM57"/>
    <mergeCell ref="BL54:BL55"/>
    <mergeCell ref="BM54:BM55"/>
    <mergeCell ref="AM54:AN55"/>
    <mergeCell ref="AO54:AQ55"/>
    <mergeCell ref="AR54:AU55"/>
    <mergeCell ref="AY54:AY55"/>
    <mergeCell ref="BG48:BG49"/>
    <mergeCell ref="BI48:BI49"/>
    <mergeCell ref="BK48:BK49"/>
    <mergeCell ref="BL48:BL49"/>
    <mergeCell ref="BM48:BM49"/>
    <mergeCell ref="BK44:BK45"/>
    <mergeCell ref="BL44:BL45"/>
    <mergeCell ref="BM44:BM45"/>
    <mergeCell ref="BT56:BT57"/>
    <mergeCell ref="BH46:BH47"/>
    <mergeCell ref="BH48:BH49"/>
    <mergeCell ref="BH50:BH51"/>
    <mergeCell ref="BH52:BH53"/>
    <mergeCell ref="BH54:BH55"/>
    <mergeCell ref="BH56:BH57"/>
    <mergeCell ref="BS56:BS57"/>
    <mergeCell ref="BG54:BG55"/>
    <mergeCell ref="BI54:BI55"/>
    <mergeCell ref="BS34:BS35"/>
    <mergeCell ref="BS36:BS37"/>
    <mergeCell ref="BS38:BS39"/>
    <mergeCell ref="BS40:BS41"/>
    <mergeCell ref="BS42:BS43"/>
    <mergeCell ref="BS44:BS45"/>
    <mergeCell ref="BS46:BS47"/>
    <mergeCell ref="BS48:BS49"/>
    <mergeCell ref="BS50:BS51"/>
    <mergeCell ref="BS16:BS17"/>
    <mergeCell ref="BS18:BS19"/>
    <mergeCell ref="BS20:BS21"/>
    <mergeCell ref="BS22:BS23"/>
    <mergeCell ref="BS24:BS25"/>
    <mergeCell ref="BS26:BS27"/>
    <mergeCell ref="BS28:BS29"/>
    <mergeCell ref="BS30:BS31"/>
    <mergeCell ref="BS32:BS33"/>
    <mergeCell ref="BK54:BK55"/>
    <mergeCell ref="P54:Q55"/>
    <mergeCell ref="R54:S55"/>
    <mergeCell ref="T54:U55"/>
    <mergeCell ref="V54:W55"/>
    <mergeCell ref="AZ54:AZ55"/>
    <mergeCell ref="BA54:BA55"/>
    <mergeCell ref="BB54:BB55"/>
    <mergeCell ref="BC54:BC55"/>
    <mergeCell ref="BD54:BD55"/>
    <mergeCell ref="BE54:BE55"/>
    <mergeCell ref="AG54:AH55"/>
    <mergeCell ref="AI54:AL55"/>
    <mergeCell ref="BK52:BK53"/>
    <mergeCell ref="BT16:BT17"/>
    <mergeCell ref="BT18:BT19"/>
    <mergeCell ref="BT20:BT21"/>
    <mergeCell ref="BT22:BT23"/>
    <mergeCell ref="BT24:BT25"/>
    <mergeCell ref="BT26:BT27"/>
    <mergeCell ref="BT28:BT29"/>
    <mergeCell ref="BT30:BT31"/>
    <mergeCell ref="BT32:BT33"/>
    <mergeCell ref="BS52:BS53"/>
    <mergeCell ref="BS54:BS55"/>
    <mergeCell ref="BT52:BT53"/>
    <mergeCell ref="BT54:BT55"/>
    <mergeCell ref="BT34:BT35"/>
    <mergeCell ref="BT36:BT37"/>
    <mergeCell ref="BT38:BT39"/>
    <mergeCell ref="BL52:BL53"/>
    <mergeCell ref="BM52:BM53"/>
    <mergeCell ref="B54:B55"/>
    <mergeCell ref="C54:I55"/>
    <mergeCell ref="M200:AG201"/>
    <mergeCell ref="AY200:AY201"/>
    <mergeCell ref="BA200:BA201"/>
    <mergeCell ref="BB200:BB201"/>
    <mergeCell ref="BA56:BA57"/>
    <mergeCell ref="BB56:BB57"/>
    <mergeCell ref="BC56:BC57"/>
    <mergeCell ref="BD56:BD57"/>
    <mergeCell ref="BE56:BE57"/>
    <mergeCell ref="BF56:BF57"/>
    <mergeCell ref="AI56:AL57"/>
    <mergeCell ref="AM56:AN57"/>
    <mergeCell ref="AO56:AQ57"/>
    <mergeCell ref="AR56:AU57"/>
    <mergeCell ref="AY56:AY57"/>
    <mergeCell ref="AZ56:AZ57"/>
    <mergeCell ref="R56:S57"/>
    <mergeCell ref="T56:U57"/>
    <mergeCell ref="V56:W57"/>
    <mergeCell ref="AE56:AF57"/>
    <mergeCell ref="AG56:AH57"/>
    <mergeCell ref="BA60:BA61"/>
    <mergeCell ref="BB60:BB61"/>
    <mergeCell ref="BA58:BA59"/>
    <mergeCell ref="BB58:BB59"/>
    <mergeCell ref="BC58:BC59"/>
    <mergeCell ref="BA72:BA73"/>
    <mergeCell ref="BB72:BB73"/>
    <mergeCell ref="J54:K55"/>
    <mergeCell ref="L54:M55"/>
    <mergeCell ref="N54:O55"/>
    <mergeCell ref="BA52:BA53"/>
    <mergeCell ref="BB52:BB53"/>
    <mergeCell ref="BC52:BC53"/>
    <mergeCell ref="BD52:BD53"/>
    <mergeCell ref="BE52:BE53"/>
    <mergeCell ref="BF52:BF53"/>
    <mergeCell ref="AI52:AL53"/>
    <mergeCell ref="AM52:AN53"/>
    <mergeCell ref="AO52:AQ53"/>
    <mergeCell ref="AR52:AU53"/>
    <mergeCell ref="AY52:AY53"/>
    <mergeCell ref="AZ52:AZ53"/>
    <mergeCell ref="R52:S53"/>
    <mergeCell ref="T52:U53"/>
    <mergeCell ref="V52:W53"/>
    <mergeCell ref="AE52:AF53"/>
    <mergeCell ref="AG52:AH53"/>
    <mergeCell ref="AE54:AF55"/>
    <mergeCell ref="BF54:BF55"/>
    <mergeCell ref="B52:B53"/>
    <mergeCell ref="C52:I53"/>
    <mergeCell ref="J52:K53"/>
    <mergeCell ref="L52:M53"/>
    <mergeCell ref="N52:O53"/>
    <mergeCell ref="P52:Q53"/>
    <mergeCell ref="BF50:BF51"/>
    <mergeCell ref="BG50:BG51"/>
    <mergeCell ref="BI50:BI51"/>
    <mergeCell ref="BK50:BK51"/>
    <mergeCell ref="BL50:BL51"/>
    <mergeCell ref="BM50:BM51"/>
    <mergeCell ref="AZ50:AZ51"/>
    <mergeCell ref="BA50:BA51"/>
    <mergeCell ref="BB50:BB51"/>
    <mergeCell ref="BC50:BC51"/>
    <mergeCell ref="BD50:BD51"/>
    <mergeCell ref="BE50:BE51"/>
    <mergeCell ref="AG50:AH51"/>
    <mergeCell ref="AI50:AL51"/>
    <mergeCell ref="AM50:AN51"/>
    <mergeCell ref="AO50:AQ51"/>
    <mergeCell ref="AR50:AU51"/>
    <mergeCell ref="AY50:AY51"/>
    <mergeCell ref="P50:Q51"/>
    <mergeCell ref="R50:S51"/>
    <mergeCell ref="T50:U51"/>
    <mergeCell ref="V50:W51"/>
    <mergeCell ref="AE50:AF51"/>
    <mergeCell ref="B50:B51"/>
    <mergeCell ref="C50:I51"/>
    <mergeCell ref="J50:K51"/>
    <mergeCell ref="L50:M51"/>
    <mergeCell ref="N50:O51"/>
    <mergeCell ref="BA48:BA49"/>
    <mergeCell ref="BB48:BB49"/>
    <mergeCell ref="BC48:BC49"/>
    <mergeCell ref="BD48:BD49"/>
    <mergeCell ref="BE48:BE49"/>
    <mergeCell ref="BF48:BF49"/>
    <mergeCell ref="AI48:AL49"/>
    <mergeCell ref="AM48:AN49"/>
    <mergeCell ref="AO48:AQ49"/>
    <mergeCell ref="AR48:AU49"/>
    <mergeCell ref="AY48:AY49"/>
    <mergeCell ref="AZ48:AZ49"/>
    <mergeCell ref="R48:S49"/>
    <mergeCell ref="T48:U49"/>
    <mergeCell ref="V48:W49"/>
    <mergeCell ref="AE48:AF49"/>
    <mergeCell ref="AG48:AH49"/>
    <mergeCell ref="B48:B49"/>
    <mergeCell ref="C48:I49"/>
    <mergeCell ref="J48:K49"/>
    <mergeCell ref="L48:M49"/>
    <mergeCell ref="N48:O49"/>
    <mergeCell ref="P48:Q49"/>
    <mergeCell ref="BF46:BF47"/>
    <mergeCell ref="BG46:BG47"/>
    <mergeCell ref="BI46:BI47"/>
    <mergeCell ref="BK46:BK47"/>
    <mergeCell ref="BL46:BL47"/>
    <mergeCell ref="BM46:BM47"/>
    <mergeCell ref="AZ46:AZ47"/>
    <mergeCell ref="BA46:BA47"/>
    <mergeCell ref="BB46:BB47"/>
    <mergeCell ref="BC46:BC47"/>
    <mergeCell ref="BD46:BD47"/>
    <mergeCell ref="BE46:BE47"/>
    <mergeCell ref="AG46:AH47"/>
    <mergeCell ref="AI46:AL47"/>
    <mergeCell ref="AM46:AN47"/>
    <mergeCell ref="AO46:AQ47"/>
    <mergeCell ref="AR46:AU47"/>
    <mergeCell ref="AY46:AY47"/>
    <mergeCell ref="P46:Q47"/>
    <mergeCell ref="R46:S47"/>
    <mergeCell ref="T46:U47"/>
    <mergeCell ref="V46:W47"/>
    <mergeCell ref="AE46:AF47"/>
    <mergeCell ref="B46:B47"/>
    <mergeCell ref="C46:I47"/>
    <mergeCell ref="J46:K47"/>
    <mergeCell ref="L46:M47"/>
    <mergeCell ref="N46:O47"/>
    <mergeCell ref="BA44:BA45"/>
    <mergeCell ref="BB44:BB45"/>
    <mergeCell ref="BC44:BC45"/>
    <mergeCell ref="BD44:BD45"/>
    <mergeCell ref="BE44:BE45"/>
    <mergeCell ref="BF44:BF45"/>
    <mergeCell ref="AI44:AL45"/>
    <mergeCell ref="AM44:AN45"/>
    <mergeCell ref="AO44:AQ45"/>
    <mergeCell ref="AR44:AU45"/>
    <mergeCell ref="AY44:AY45"/>
    <mergeCell ref="AZ44:AZ45"/>
    <mergeCell ref="R44:S45"/>
    <mergeCell ref="T44:U45"/>
    <mergeCell ref="V44:W45"/>
    <mergeCell ref="AE44:AF45"/>
    <mergeCell ref="AG44:AH45"/>
    <mergeCell ref="B44:B45"/>
    <mergeCell ref="C44:I45"/>
    <mergeCell ref="J44:K45"/>
    <mergeCell ref="L44:M45"/>
    <mergeCell ref="N44:O45"/>
    <mergeCell ref="P44:Q45"/>
    <mergeCell ref="BF42:BF43"/>
    <mergeCell ref="BG42:BG43"/>
    <mergeCell ref="BI42:BI43"/>
    <mergeCell ref="BK42:BK43"/>
    <mergeCell ref="BL42:BL43"/>
    <mergeCell ref="BM42:BM43"/>
    <mergeCell ref="AZ42:AZ43"/>
    <mergeCell ref="BA42:BA43"/>
    <mergeCell ref="BB42:BB43"/>
    <mergeCell ref="BC42:BC43"/>
    <mergeCell ref="BD42:BD43"/>
    <mergeCell ref="BE42:BE43"/>
    <mergeCell ref="AG42:AH43"/>
    <mergeCell ref="AI42:AL43"/>
    <mergeCell ref="AM42:AN43"/>
    <mergeCell ref="AO42:AQ43"/>
    <mergeCell ref="AR42:AU43"/>
    <mergeCell ref="AY42:AY43"/>
    <mergeCell ref="P42:Q43"/>
    <mergeCell ref="R42:S43"/>
    <mergeCell ref="T42:U43"/>
    <mergeCell ref="V42:W43"/>
    <mergeCell ref="AE42:AF43"/>
    <mergeCell ref="BG44:BG45"/>
    <mergeCell ref="BI44:BI45"/>
    <mergeCell ref="B42:B43"/>
    <mergeCell ref="C42:I43"/>
    <mergeCell ref="J42:K43"/>
    <mergeCell ref="L42:M43"/>
    <mergeCell ref="N42:O43"/>
    <mergeCell ref="BA40:BA41"/>
    <mergeCell ref="BB40:BB41"/>
    <mergeCell ref="BC40:BC41"/>
    <mergeCell ref="BD40:BD41"/>
    <mergeCell ref="BE40:BE41"/>
    <mergeCell ref="BF40:BF41"/>
    <mergeCell ref="AI40:AL41"/>
    <mergeCell ref="AM40:AN41"/>
    <mergeCell ref="AO40:AQ41"/>
    <mergeCell ref="AR40:AU41"/>
    <mergeCell ref="AY40:AY41"/>
    <mergeCell ref="AZ40:AZ41"/>
    <mergeCell ref="R40:S41"/>
    <mergeCell ref="T40:U41"/>
    <mergeCell ref="V40:W41"/>
    <mergeCell ref="AE40:AF41"/>
    <mergeCell ref="AG40:AH41"/>
    <mergeCell ref="B40:B41"/>
    <mergeCell ref="C40:I41"/>
    <mergeCell ref="J40:K41"/>
    <mergeCell ref="L40:M41"/>
    <mergeCell ref="N40:O41"/>
    <mergeCell ref="P40:Q41"/>
    <mergeCell ref="BL38:BL39"/>
    <mergeCell ref="BM38:BM39"/>
    <mergeCell ref="AZ38:AZ39"/>
    <mergeCell ref="BA38:BA39"/>
    <mergeCell ref="BB38:BB39"/>
    <mergeCell ref="BC38:BC39"/>
    <mergeCell ref="BD38:BD39"/>
    <mergeCell ref="BE38:BE39"/>
    <mergeCell ref="AG38:AH39"/>
    <mergeCell ref="AI38:AL39"/>
    <mergeCell ref="AM38:AN39"/>
    <mergeCell ref="AO38:AQ39"/>
    <mergeCell ref="AR38:AU39"/>
    <mergeCell ref="AY38:AY39"/>
    <mergeCell ref="P38:Q39"/>
    <mergeCell ref="R38:S39"/>
    <mergeCell ref="T38:U39"/>
    <mergeCell ref="V38:W39"/>
    <mergeCell ref="AE38:AF39"/>
    <mergeCell ref="BG40:BG41"/>
    <mergeCell ref="BI40:BI41"/>
    <mergeCell ref="BK40:BK41"/>
    <mergeCell ref="BL40:BL41"/>
    <mergeCell ref="BM40:BM41"/>
    <mergeCell ref="B38:B39"/>
    <mergeCell ref="C38:I39"/>
    <mergeCell ref="J38:K39"/>
    <mergeCell ref="L38:M39"/>
    <mergeCell ref="N38:O39"/>
    <mergeCell ref="BA36:BA37"/>
    <mergeCell ref="BB36:BB37"/>
    <mergeCell ref="BC36:BC37"/>
    <mergeCell ref="BD36:BD37"/>
    <mergeCell ref="BE36:BE37"/>
    <mergeCell ref="BF36:BF37"/>
    <mergeCell ref="AI36:AL37"/>
    <mergeCell ref="AM36:AN37"/>
    <mergeCell ref="AO36:AQ37"/>
    <mergeCell ref="AR36:AU37"/>
    <mergeCell ref="AY36:AY37"/>
    <mergeCell ref="AZ36:AZ37"/>
    <mergeCell ref="R36:S37"/>
    <mergeCell ref="T36:U37"/>
    <mergeCell ref="V36:W37"/>
    <mergeCell ref="AE36:AF37"/>
    <mergeCell ref="AG36:AH37"/>
    <mergeCell ref="BF38:BF39"/>
    <mergeCell ref="J36:K37"/>
    <mergeCell ref="L36:M37"/>
    <mergeCell ref="N36:O37"/>
    <mergeCell ref="P36:Q37"/>
    <mergeCell ref="BG34:BG35"/>
    <mergeCell ref="BI34:BI35"/>
    <mergeCell ref="BK34:BK35"/>
    <mergeCell ref="BL34:BL35"/>
    <mergeCell ref="BM34:BM35"/>
    <mergeCell ref="AZ34:AZ35"/>
    <mergeCell ref="BA34:BA35"/>
    <mergeCell ref="BB34:BB35"/>
    <mergeCell ref="BC34:BC35"/>
    <mergeCell ref="BD34:BD35"/>
    <mergeCell ref="BE34:BE35"/>
    <mergeCell ref="AG34:AH35"/>
    <mergeCell ref="AI34:AL35"/>
    <mergeCell ref="AM34:AN35"/>
    <mergeCell ref="AO34:AQ35"/>
    <mergeCell ref="AR34:AU35"/>
    <mergeCell ref="AY34:AY35"/>
    <mergeCell ref="R34:S35"/>
    <mergeCell ref="T34:U35"/>
    <mergeCell ref="V34:W35"/>
    <mergeCell ref="AE34:AF35"/>
    <mergeCell ref="BG36:BG37"/>
    <mergeCell ref="BI36:BI37"/>
    <mergeCell ref="BK36:BK37"/>
    <mergeCell ref="BL36:BL37"/>
    <mergeCell ref="BM36:BM37"/>
    <mergeCell ref="B34:B35"/>
    <mergeCell ref="C34:I35"/>
    <mergeCell ref="J34:K35"/>
    <mergeCell ref="L34:M35"/>
    <mergeCell ref="N34:O35"/>
    <mergeCell ref="BA32:BA33"/>
    <mergeCell ref="BB32:BB33"/>
    <mergeCell ref="BC32:BC33"/>
    <mergeCell ref="BD32:BD33"/>
    <mergeCell ref="BE32:BE33"/>
    <mergeCell ref="BF32:BF33"/>
    <mergeCell ref="AI32:AL33"/>
    <mergeCell ref="AM32:AN33"/>
    <mergeCell ref="AO32:AQ33"/>
    <mergeCell ref="AR32:AU33"/>
    <mergeCell ref="AY32:AY33"/>
    <mergeCell ref="AZ32:AZ33"/>
    <mergeCell ref="R32:S33"/>
    <mergeCell ref="T32:U33"/>
    <mergeCell ref="V32:W33"/>
    <mergeCell ref="AE32:AF33"/>
    <mergeCell ref="AG32:AH33"/>
    <mergeCell ref="BF34:BF35"/>
    <mergeCell ref="C32:I33"/>
    <mergeCell ref="J32:K33"/>
    <mergeCell ref="L32:M33"/>
    <mergeCell ref="N32:O33"/>
    <mergeCell ref="P32:Q33"/>
    <mergeCell ref="B36:B37"/>
    <mergeCell ref="C36:I37"/>
    <mergeCell ref="BF30:BF31"/>
    <mergeCell ref="BG30:BG31"/>
    <mergeCell ref="BI30:BI31"/>
    <mergeCell ref="BK30:BK31"/>
    <mergeCell ref="BL30:BL31"/>
    <mergeCell ref="BM30:BM31"/>
    <mergeCell ref="AZ30:AZ31"/>
    <mergeCell ref="BA30:BA31"/>
    <mergeCell ref="BB30:BB31"/>
    <mergeCell ref="BC30:BC31"/>
    <mergeCell ref="BD30:BD31"/>
    <mergeCell ref="BE30:BE31"/>
    <mergeCell ref="AG30:AH31"/>
    <mergeCell ref="AI30:AL31"/>
    <mergeCell ref="AM30:AN31"/>
    <mergeCell ref="AO30:AQ31"/>
    <mergeCell ref="AR30:AU31"/>
    <mergeCell ref="AY30:AY31"/>
    <mergeCell ref="P30:Q31"/>
    <mergeCell ref="R30:S31"/>
    <mergeCell ref="T30:U31"/>
    <mergeCell ref="V30:W31"/>
    <mergeCell ref="AE30:AF31"/>
    <mergeCell ref="BG32:BG33"/>
    <mergeCell ref="P34:Q35"/>
    <mergeCell ref="BK32:BK33"/>
    <mergeCell ref="BL32:BL33"/>
    <mergeCell ref="BM32:BM33"/>
    <mergeCell ref="B30:B31"/>
    <mergeCell ref="C30:I31"/>
    <mergeCell ref="J30:K31"/>
    <mergeCell ref="L30:M31"/>
    <mergeCell ref="N30:O31"/>
    <mergeCell ref="BA28:BA29"/>
    <mergeCell ref="BB28:BB29"/>
    <mergeCell ref="BC28:BC29"/>
    <mergeCell ref="BD28:BD29"/>
    <mergeCell ref="BE28:BE29"/>
    <mergeCell ref="BF28:BF29"/>
    <mergeCell ref="AI28:AL29"/>
    <mergeCell ref="AM28:AN29"/>
    <mergeCell ref="AO28:AQ29"/>
    <mergeCell ref="AR28:AU29"/>
    <mergeCell ref="AY28:AY29"/>
    <mergeCell ref="AZ28:AZ29"/>
    <mergeCell ref="R28:S29"/>
    <mergeCell ref="T28:U29"/>
    <mergeCell ref="V28:W29"/>
    <mergeCell ref="AE28:AF29"/>
    <mergeCell ref="AG28:AH29"/>
    <mergeCell ref="B28:B29"/>
    <mergeCell ref="C28:I29"/>
    <mergeCell ref="J28:K29"/>
    <mergeCell ref="L28:M29"/>
    <mergeCell ref="N28:O29"/>
    <mergeCell ref="P28:Q29"/>
    <mergeCell ref="B32:B33"/>
    <mergeCell ref="BF26:BF27"/>
    <mergeCell ref="BG26:BG27"/>
    <mergeCell ref="BI26:BI27"/>
    <mergeCell ref="BK26:BK27"/>
    <mergeCell ref="BL26:BL27"/>
    <mergeCell ref="BM26:BM27"/>
    <mergeCell ref="AZ26:AZ27"/>
    <mergeCell ref="BA26:BA27"/>
    <mergeCell ref="BB26:BB27"/>
    <mergeCell ref="BC26:BC27"/>
    <mergeCell ref="BD26:BD27"/>
    <mergeCell ref="BE26:BE27"/>
    <mergeCell ref="AG26:AH27"/>
    <mergeCell ref="AI26:AL27"/>
    <mergeCell ref="AM26:AN27"/>
    <mergeCell ref="AO26:AQ27"/>
    <mergeCell ref="AR26:AU27"/>
    <mergeCell ref="AY26:AY27"/>
    <mergeCell ref="P26:Q27"/>
    <mergeCell ref="R26:S27"/>
    <mergeCell ref="T26:U27"/>
    <mergeCell ref="V26:W27"/>
    <mergeCell ref="AE26:AF27"/>
    <mergeCell ref="BG28:BG29"/>
    <mergeCell ref="BI28:BI29"/>
    <mergeCell ref="BK28:BK29"/>
    <mergeCell ref="BL28:BL29"/>
    <mergeCell ref="BM28:BM29"/>
    <mergeCell ref="BI24:BI25"/>
    <mergeCell ref="BK24:BK25"/>
    <mergeCell ref="BL24:BL25"/>
    <mergeCell ref="BM24:BM25"/>
    <mergeCell ref="B26:B27"/>
    <mergeCell ref="C26:I27"/>
    <mergeCell ref="J26:K27"/>
    <mergeCell ref="L26:M27"/>
    <mergeCell ref="N26:O27"/>
    <mergeCell ref="BA24:BA25"/>
    <mergeCell ref="BB24:BB25"/>
    <mergeCell ref="BC24:BC25"/>
    <mergeCell ref="BD24:BD25"/>
    <mergeCell ref="BE24:BE25"/>
    <mergeCell ref="BF24:BF25"/>
    <mergeCell ref="AI24:AL25"/>
    <mergeCell ref="AM24:AN25"/>
    <mergeCell ref="AO24:AQ25"/>
    <mergeCell ref="AR24:AU25"/>
    <mergeCell ref="AY24:AY25"/>
    <mergeCell ref="AZ24:AZ25"/>
    <mergeCell ref="R24:S25"/>
    <mergeCell ref="T24:U25"/>
    <mergeCell ref="V24:W25"/>
    <mergeCell ref="AE24:AF25"/>
    <mergeCell ref="AG24:AH25"/>
    <mergeCell ref="B24:B25"/>
    <mergeCell ref="C24:I25"/>
    <mergeCell ref="J24:K25"/>
    <mergeCell ref="L24:M25"/>
    <mergeCell ref="N24:O25"/>
    <mergeCell ref="P24:Q25"/>
    <mergeCell ref="BB22:BB23"/>
    <mergeCell ref="BC22:BC23"/>
    <mergeCell ref="BD22:BD23"/>
    <mergeCell ref="BE22:BE23"/>
    <mergeCell ref="BF22:BF23"/>
    <mergeCell ref="BG22:BG23"/>
    <mergeCell ref="AM22:AN23"/>
    <mergeCell ref="AO22:AQ23"/>
    <mergeCell ref="AR22:AU23"/>
    <mergeCell ref="AY22:AY23"/>
    <mergeCell ref="AZ22:AZ23"/>
    <mergeCell ref="BA22:BA23"/>
    <mergeCell ref="T22:U23"/>
    <mergeCell ref="V22:W23"/>
    <mergeCell ref="AE22:AF23"/>
    <mergeCell ref="AG22:AH23"/>
    <mergeCell ref="AI22:AL23"/>
    <mergeCell ref="BG24:BG25"/>
    <mergeCell ref="BL20:BL21"/>
    <mergeCell ref="B18:B19"/>
    <mergeCell ref="BM20:BM21"/>
    <mergeCell ref="B22:B23"/>
    <mergeCell ref="C22:I23"/>
    <mergeCell ref="J22:K23"/>
    <mergeCell ref="L22:M23"/>
    <mergeCell ref="N22:O23"/>
    <mergeCell ref="P22:Q23"/>
    <mergeCell ref="R22:S23"/>
    <mergeCell ref="BC20:BC21"/>
    <mergeCell ref="BD20:BD21"/>
    <mergeCell ref="BE20:BE21"/>
    <mergeCell ref="BF20:BF21"/>
    <mergeCell ref="BG20:BG21"/>
    <mergeCell ref="BI20:BI21"/>
    <mergeCell ref="AO20:AQ21"/>
    <mergeCell ref="AR20:AU21"/>
    <mergeCell ref="AY20:AY21"/>
    <mergeCell ref="AZ20:AZ21"/>
    <mergeCell ref="BA20:BA21"/>
    <mergeCell ref="BB20:BB21"/>
    <mergeCell ref="V20:W21"/>
    <mergeCell ref="AE20:AF21"/>
    <mergeCell ref="BI22:BI23"/>
    <mergeCell ref="BK22:BK23"/>
    <mergeCell ref="BL22:BL23"/>
    <mergeCell ref="BM22:BM23"/>
    <mergeCell ref="BJ22:BJ23"/>
    <mergeCell ref="B20:B21"/>
    <mergeCell ref="C20:I21"/>
    <mergeCell ref="J20:K21"/>
    <mergeCell ref="L20:M21"/>
    <mergeCell ref="N20:O21"/>
    <mergeCell ref="P20:Q21"/>
    <mergeCell ref="R20:S21"/>
    <mergeCell ref="T20:U21"/>
    <mergeCell ref="BD18:BD19"/>
    <mergeCell ref="BE18:BE19"/>
    <mergeCell ref="BF18:BF19"/>
    <mergeCell ref="BG18:BG19"/>
    <mergeCell ref="BI18:BI19"/>
    <mergeCell ref="BK18:BK19"/>
    <mergeCell ref="AR18:AU19"/>
    <mergeCell ref="AY18:AY19"/>
    <mergeCell ref="AZ18:AZ19"/>
    <mergeCell ref="BA18:BA19"/>
    <mergeCell ref="BB18:BB19"/>
    <mergeCell ref="BC18:BC19"/>
    <mergeCell ref="AE18:AF19"/>
    <mergeCell ref="AG18:AH19"/>
    <mergeCell ref="AI18:AL19"/>
    <mergeCell ref="AM18:AN19"/>
    <mergeCell ref="AO18:AQ19"/>
    <mergeCell ref="BK20:BK21"/>
    <mergeCell ref="AG20:AH21"/>
    <mergeCell ref="AI20:AL21"/>
    <mergeCell ref="AM20:AN21"/>
    <mergeCell ref="C18:I19"/>
    <mergeCell ref="J18:K19"/>
    <mergeCell ref="L18:M19"/>
    <mergeCell ref="N18:O19"/>
    <mergeCell ref="P18:Q19"/>
    <mergeCell ref="R18:S19"/>
    <mergeCell ref="T18:U19"/>
    <mergeCell ref="V18:W19"/>
    <mergeCell ref="BK16:BK17"/>
    <mergeCell ref="BL16:BL17"/>
    <mergeCell ref="BM16:BM17"/>
    <mergeCell ref="J17:K17"/>
    <mergeCell ref="L17:M17"/>
    <mergeCell ref="N17:O17"/>
    <mergeCell ref="P17:Q17"/>
    <mergeCell ref="R17:S17"/>
    <mergeCell ref="T17:U17"/>
    <mergeCell ref="AE17:AF17"/>
    <mergeCell ref="BA16:BB16"/>
    <mergeCell ref="BC16:BC17"/>
    <mergeCell ref="BD16:BD17"/>
    <mergeCell ref="BE16:BE17"/>
    <mergeCell ref="BF16:BG16"/>
    <mergeCell ref="BI16:BI17"/>
    <mergeCell ref="AI16:AL17"/>
    <mergeCell ref="AM16:AN17"/>
    <mergeCell ref="AO16:AQ17"/>
    <mergeCell ref="AR16:AU17"/>
    <mergeCell ref="AY16:AY17"/>
    <mergeCell ref="AZ16:AZ17"/>
    <mergeCell ref="BL18:BL19"/>
    <mergeCell ref="BM18:BM19"/>
    <mergeCell ref="R14:U14"/>
    <mergeCell ref="V14:Y14"/>
    <mergeCell ref="Z14:AC14"/>
    <mergeCell ref="C16:I17"/>
    <mergeCell ref="V16:W17"/>
    <mergeCell ref="AE16:AH16"/>
    <mergeCell ref="R12:U13"/>
    <mergeCell ref="V12:Y13"/>
    <mergeCell ref="Z12:AC13"/>
    <mergeCell ref="AQ5:AU6"/>
    <mergeCell ref="AQ7:AU7"/>
    <mergeCell ref="AQ8:AU8"/>
    <mergeCell ref="AG17:AH17"/>
    <mergeCell ref="G9:J11"/>
    <mergeCell ref="O9:R11"/>
    <mergeCell ref="K9:N11"/>
    <mergeCell ref="A5:E6"/>
    <mergeCell ref="A7:E7"/>
    <mergeCell ref="A8:E8"/>
    <mergeCell ref="AI13:AQ14"/>
    <mergeCell ref="J16:O16"/>
    <mergeCell ref="P16:U16"/>
    <mergeCell ref="X16:Z17"/>
  </mergeCells>
  <conditionalFormatting sqref="L18:O87">
    <cfRule type="expression" dxfId="126" priority="5">
      <formula>IF($J18="IPLV",TRUE,FALSE)</formula>
    </cfRule>
  </conditionalFormatting>
  <conditionalFormatting sqref="R18:U87">
    <cfRule type="expression" dxfId="125" priority="10">
      <formula>IF(AND($J18="IPLV",$P18="Full-Load"),TRUE,FALSE)</formula>
    </cfRule>
  </conditionalFormatting>
  <conditionalFormatting sqref="T18:AA18 T18:U63 N18:O87 AE18:AH87 T19:Z87 AA20 AA22 AA24 AA26 AA28 AA30 AA32 AA34 AA36 AA38 AA40 AA42 AA44 AA46 AA48 AA50 AA52 AA54 AA56 AA58 AA60 AA62 AA64 AA66 AA68 AA70 AA72 AA74 AA76 AA78 AA80 AA82 AA84 AA86">
    <cfRule type="expression" dxfId="124" priority="6">
      <formula>AND(ISBLANK($C18)=FALSE,OR(ISBLANK(N18)=TRUE,N18=""))</formula>
    </cfRule>
  </conditionalFormatting>
  <conditionalFormatting sqref="AM18:AN87">
    <cfRule type="expression" dxfId="123" priority="1">
      <formula>AM18 &lt;&gt; INDEX(STDHVACINC_N, MATCH(C18, STDHVACLIST_N,0))</formula>
    </cfRule>
  </conditionalFormatting>
  <conditionalFormatting sqref="AQ8:AW8">
    <cfRule type="expression" dxfId="122" priority="1618">
      <formula>IF($AQ$8=PROJSTATMEASURE,FALSE,TRUE)</formula>
    </cfRule>
  </conditionalFormatting>
  <conditionalFormatting sqref="AR18:AU87">
    <cfRule type="expression" dxfId="121" priority="1834" stopIfTrue="1">
      <formula>ISNUMBER($AR18)=FALSE</formula>
    </cfRule>
    <cfRule type="expression" dxfId="120" priority="1835">
      <formula>$AR18 &lt;&gt; $BH18</formula>
    </cfRule>
  </conditionalFormatting>
  <conditionalFormatting sqref="BO18:BP87">
    <cfRule type="expression" dxfId="119" priority="8">
      <formula>IF(OR($BN18="EER",$BN18="SEER",$BN18="IEER",$BN18="COP",$BN18="HSPF"),TRUE,FALSE)</formula>
    </cfRule>
    <cfRule type="expression" dxfId="118" priority="9">
      <formula>IF(AND($BN18&lt;&gt;"",BO18=""),TRUE,FALSE)</formula>
    </cfRule>
  </conditionalFormatting>
  <conditionalFormatting sqref="BQ18:BQ87">
    <cfRule type="expression" dxfId="117" priority="1836">
      <formula>IF(AND($AO18&gt;0,$BQ18="",ISNUMBER(SEARCH("ASHP",$C18))),TRUE,FALSE)</formula>
    </cfRule>
  </conditionalFormatting>
  <dataValidations count="7">
    <dataValidation type="decimal" operator="greaterThan"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 sqref="T18:U87" xr:uid="{CBD8A657-74B7-4C49-BE21-D0A6772263E0}">
      <formula1>0</formula1>
    </dataValidation>
    <dataValidation type="decimal" allowBlank="1" showInputMessage="1" showErrorMessage="1" prompt="This is the TOTAL Material Cost of the measure, NOT a per unit basis." sqref="AE18:AF87" xr:uid="{CB92EFF9-AB74-4215-8ED0-C8865D35E021}">
      <formula1>0</formula1>
      <formula2>999999</formula2>
    </dataValidation>
    <dataValidation type="decimal" allowBlank="1" showInputMessage="1" showErrorMessage="1" prompt="This is the TOTAL Labor Cost of the measure, NOT a per unit basis." sqref="AG18:AH87" xr:uid="{E1BDD48F-4A56-4C77-AD73-50CB0D9E4F45}">
      <formula1>0</formula1>
      <formula2>999999</formula2>
    </dataValidation>
    <dataValidation type="decimal" showInputMessage="1" showErrorMessage="1" error="The tons entered do not match the Measure selected. Please ensure that the correct Measure and size range was selected." prompt="Enter the nominal tons of the proposed unit. This value can be found on the equipment specification sheets. " sqref="V18:W87" xr:uid="{5FEF9BCB-2C44-485D-8FE3-03788E7D4F51}">
      <formula1>INDEX(STDHVACTONMIN_N,MATCH(C18,STDHVACMEASURES_N,0))</formula1>
      <formula2>INDEX(STDHVACTONMAX_N,MATCH(C18,STDHVACMEASURES_N,0))</formula2>
    </dataValidation>
    <dataValidation type="custom"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sqref="N18:O87" xr:uid="{83774660-1DE5-4893-875A-CE9B24959E79}">
      <formula1>IF(OR(ISNUMBER(SEARCH("PTAC", C18)), ISNUMBER(SEARCH("PTHP", C18))), N18&gt;=11, N18&gt;0)</formula1>
    </dataValidation>
    <dataValidation allowBlank="1" showInputMessage="1" showErrorMessage="1" prompt="Enter the Brand and Model # as it appears in technical documents and invoices." sqref="AA18 X18:Z87 AA20 AA22 AA24 AA26 AA28 AA30 AA32 AA34 AA36 AA38 AA40 AA42 AA44 AA46 AA48 AA50 AA52 AA54 AA56 AA58 AA60 AA62 AA64 AA66 AA68 AA70 AA72 AA74 AA76 AA78 AA80 AA82 AA84 AA86" xr:uid="{43B5D299-E1D5-4F96-AA76-FB99EE2B6732}"/>
    <dataValidation type="list" allowBlank="1" showInputMessage="1" showErrorMessage="1" prompt="Select Efficient Measure. If you do not see your equipment listed, it may qualify as a Custom Measure." sqref="C18:I87" xr:uid="{BAE0CF46-36B6-4DA4-AAED-020C35D14D2A}">
      <formula1>IF( AND(N18="", T18="", V18="", BP18="", BQ18=""), STDHVACLIST_N, "")</formula1>
    </dataValidation>
  </dataValidations>
  <hyperlinks>
    <hyperlink ref="G9:J11" location="'M03-S04'!C18" tooltip="Refrigeration" display="'M03-S04'!C18" xr:uid="{CC921786-5877-4F20-A93A-EB74E6DF49D9}"/>
    <hyperlink ref="K9:N11" location="'M03-S08'!C18" tooltip="Motors and Drives" display="'M03-S08'!C18" xr:uid="{61953F79-6E9F-44BB-ADFF-4ABA04E02919}"/>
    <hyperlink ref="B202" r:id="rId1" display="businessrebates@evergy.com" xr:uid="{E7B08CE0-5BF3-4D8C-95A2-CDAB5583310C}"/>
  </hyperlinks>
  <printOptions horizontalCentered="1"/>
  <pageMargins left="0" right="0" top="0" bottom="0" header="0" footer="0"/>
  <pageSetup scale="4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506A0-96AD-4D89-A0B0-9E204420B873}">
  <sheetPr codeName="Sheet87">
    <tabColor theme="9" tint="0.59999389629810485"/>
    <pageSetUpPr fitToPage="1"/>
  </sheetPr>
  <dimension ref="A1:BP210"/>
  <sheetViews>
    <sheetView showGridLines="0" showRowColHeaders="0" zoomScale="85" zoomScaleNormal="85" workbookViewId="0"/>
  </sheetViews>
  <sheetFormatPr defaultColWidth="0" defaultRowHeight="0" customHeight="1" zeroHeight="1"/>
  <cols>
    <col min="1" max="49" width="4.7109375" customWidth="1"/>
    <col min="50" max="50" width="4.7109375" hidden="1" customWidth="1"/>
    <col min="51" max="56" width="10" hidden="1" customWidth="1"/>
    <col min="57" max="57" width="14.7109375" hidden="1" customWidth="1"/>
    <col min="58" max="65" width="10" hidden="1" customWidth="1"/>
    <col min="66" max="67" width="13.7109375" hidden="1" customWidth="1"/>
    <col min="68" max="68" width="9.7109375" hidden="1" customWidth="1"/>
    <col min="69" max="78" width="4.7109375" hidden="1" customWidth="1"/>
    <col min="79" max="16384" width="4.7109375" hidden="1"/>
  </cols>
  <sheetData>
    <row r="1" spans="1:68"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68"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68"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68" ht="15.95" customHeight="1">
      <c r="B4" s="199"/>
      <c r="C4" s="199"/>
      <c r="D4" s="199"/>
      <c r="E4" s="199"/>
    </row>
    <row r="5" spans="1:68" ht="15.95" customHeight="1">
      <c r="A5" s="667">
        <f>INCENTOTAL_N</f>
        <v>0</v>
      </c>
      <c r="B5" s="667"/>
      <c r="C5" s="667"/>
      <c r="D5" s="667"/>
      <c r="E5" s="667"/>
      <c r="AQ5" s="668">
        <f ca="1">PROGRESSSTATUS_N</f>
        <v>0</v>
      </c>
      <c r="AR5" s="668"/>
      <c r="AS5" s="668"/>
      <c r="AT5" s="668"/>
      <c r="AU5" s="668"/>
      <c r="AV5" s="557"/>
      <c r="AW5" s="557"/>
      <c r="AY5" s="21"/>
      <c r="AZ5" s="110" t="s">
        <v>844</v>
      </c>
      <c r="BA5" s="110" t="s">
        <v>198</v>
      </c>
    </row>
    <row r="6" spans="1:68" ht="15.95" customHeight="1">
      <c r="A6" s="667"/>
      <c r="B6" s="667"/>
      <c r="C6" s="667"/>
      <c r="D6" s="667"/>
      <c r="E6" s="667"/>
      <c r="AQ6" s="668"/>
      <c r="AR6" s="668"/>
      <c r="AS6" s="668"/>
      <c r="AT6" s="668"/>
      <c r="AU6" s="668"/>
      <c r="AV6" s="557"/>
      <c r="AW6" s="557"/>
      <c r="AY6" s="109" t="s">
        <v>26</v>
      </c>
      <c r="AZ6" s="108" t="str">
        <f>CBLIGHT_N</f>
        <v>NA</v>
      </c>
      <c r="BA6" s="176" t="str">
        <f>PAYLIGHT_N</f>
        <v>NA</v>
      </c>
    </row>
    <row r="7" spans="1:68" ht="15.95" customHeight="1">
      <c r="A7" s="665" t="s">
        <v>20</v>
      </c>
      <c r="B7" s="665"/>
      <c r="C7" s="665"/>
      <c r="D7" s="665"/>
      <c r="E7" s="665"/>
      <c r="AQ7" s="665" t="s">
        <v>179</v>
      </c>
      <c r="AR7" s="665"/>
      <c r="AS7" s="665"/>
      <c r="AT7" s="665"/>
      <c r="AU7" s="665"/>
      <c r="AV7" s="556"/>
      <c r="AW7" s="556"/>
      <c r="AY7" s="109" t="s">
        <v>50</v>
      </c>
      <c r="AZ7" s="108" t="str">
        <f>CBCUST_N</f>
        <v>NA</v>
      </c>
      <c r="BA7" s="176" t="str">
        <f>PAYCUST_N</f>
        <v>NA</v>
      </c>
    </row>
    <row r="8" spans="1:68" ht="15.95" customHeight="1" thickBot="1">
      <c r="A8" s="665"/>
      <c r="B8" s="665"/>
      <c r="C8" s="665"/>
      <c r="D8" s="665"/>
      <c r="E8" s="665"/>
      <c r="AQ8" s="674" t="str">
        <f ca="1">PROJSTATUS_N</f>
        <v>Enter Measures</v>
      </c>
      <c r="AR8" s="674"/>
      <c r="AS8" s="674"/>
      <c r="AT8" s="674"/>
      <c r="AU8" s="674"/>
      <c r="AV8" s="558"/>
      <c r="AW8" s="558"/>
      <c r="AY8" s="109" t="s">
        <v>273</v>
      </c>
      <c r="AZ8" s="108" t="str">
        <f>CBPROJ_N</f>
        <v>NA</v>
      </c>
      <c r="BA8" s="176" t="str">
        <f>PAYPROJ_N</f>
        <v>NA</v>
      </c>
    </row>
    <row r="9" spans="1:68" s="79" customFormat="1" ht="15.95" customHeight="1">
      <c r="A9" s="102"/>
      <c r="B9" s="102"/>
      <c r="C9" s="102"/>
      <c r="D9" s="102"/>
      <c r="E9" s="102"/>
      <c r="F9" s="102"/>
      <c r="G9" s="930" t="str">
        <f>N3S4</f>
        <v>HVAC</v>
      </c>
      <c r="H9" s="931"/>
      <c r="I9" s="931"/>
      <c r="J9" s="931"/>
      <c r="K9" s="925" t="str">
        <f>N3S5</f>
        <v>Refrigeration</v>
      </c>
      <c r="L9" s="925"/>
      <c r="M9" s="925"/>
      <c r="N9" s="925"/>
      <c r="O9" s="930" t="str">
        <f>N3S6</f>
        <v>Water Heating / Food Services</v>
      </c>
      <c r="P9" s="931"/>
      <c r="Q9" s="931"/>
      <c r="R9" s="93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c r="AY9" s="107" t="s">
        <v>828</v>
      </c>
      <c r="AZ9" s="399" t="str">
        <f ca="1">NEWCONCODE</f>
        <v>IECC 2012</v>
      </c>
      <c r="BA9"/>
    </row>
    <row r="10" spans="1:68" s="79" customFormat="1" ht="15.95" customHeight="1">
      <c r="B10" s="80"/>
      <c r="C10" s="80"/>
      <c r="D10" s="80"/>
      <c r="F10"/>
      <c r="G10" s="932"/>
      <c r="H10" s="932"/>
      <c r="I10" s="932"/>
      <c r="J10" s="932"/>
      <c r="K10" s="926"/>
      <c r="L10" s="926"/>
      <c r="M10" s="926"/>
      <c r="N10" s="926"/>
      <c r="O10" s="932"/>
      <c r="P10" s="932"/>
      <c r="Q10" s="932"/>
      <c r="R10" s="932"/>
      <c r="S10"/>
      <c r="AC10"/>
      <c r="AD10"/>
      <c r="AE10"/>
      <c r="AF10"/>
      <c r="AG10"/>
      <c r="AH10"/>
      <c r="AI10"/>
      <c r="AJ10"/>
      <c r="AK10"/>
      <c r="AL10"/>
      <c r="AM10"/>
      <c r="AN10" s="80"/>
      <c r="AO10"/>
      <c r="AQ10" s="80"/>
      <c r="AR10" s="80"/>
      <c r="AX10"/>
    </row>
    <row r="11" spans="1:68" ht="15.95" customHeight="1">
      <c r="B11" s="97"/>
      <c r="C11" s="97"/>
      <c r="D11" s="97"/>
      <c r="G11" s="932"/>
      <c r="H11" s="932"/>
      <c r="I11" s="932"/>
      <c r="J11" s="932"/>
      <c r="K11" s="926"/>
      <c r="L11" s="926"/>
      <c r="M11" s="926"/>
      <c r="N11" s="926"/>
      <c r="O11" s="932"/>
      <c r="P11" s="932"/>
      <c r="Q11" s="932"/>
      <c r="R11" s="932"/>
      <c r="AN11" s="97"/>
      <c r="AQ11" s="97"/>
      <c r="AR11" s="97"/>
    </row>
    <row r="12" spans="1:68" ht="15.95" customHeight="1">
      <c r="A12" s="77"/>
      <c r="B12" s="77"/>
      <c r="C12" s="77"/>
      <c r="D12" s="77"/>
      <c r="E12" s="77"/>
      <c r="R12" s="789">
        <f>SUM(AR18:AU199)</f>
        <v>0</v>
      </c>
      <c r="S12" s="789"/>
      <c r="T12" s="789"/>
      <c r="U12" s="789"/>
      <c r="V12" s="789">
        <f>SUM(AY18:AY199)</f>
        <v>0</v>
      </c>
      <c r="W12" s="789"/>
      <c r="X12" s="789"/>
      <c r="Y12" s="789"/>
      <c r="Z12" s="790">
        <f>SUM(AO18:AQ199)</f>
        <v>0</v>
      </c>
      <c r="AA12" s="790"/>
      <c r="AB12" s="790"/>
      <c r="AC12" s="790"/>
    </row>
    <row r="13" spans="1:68" ht="15.95" customHeight="1">
      <c r="A13" s="77"/>
      <c r="B13" s="77"/>
      <c r="R13" s="789"/>
      <c r="S13" s="789"/>
      <c r="T13" s="789"/>
      <c r="U13" s="789"/>
      <c r="V13" s="789"/>
      <c r="W13" s="789"/>
      <c r="X13" s="789"/>
      <c r="Y13" s="789"/>
      <c r="Z13" s="790"/>
      <c r="AA13" s="790"/>
      <c r="AB13" s="790"/>
      <c r="AC13" s="790"/>
      <c r="AI13" s="786" t="str">
        <f>IF(IFERROR(MATCH("100% Total Cost", BJ:BJ, 0), FALSE), "The incentive for one or more measures is capped due to measure cost.", "")</f>
        <v/>
      </c>
      <c r="AJ13" s="786"/>
      <c r="AK13" s="786"/>
      <c r="AL13" s="786"/>
      <c r="AM13" s="786"/>
      <c r="AN13" s="786"/>
      <c r="AO13" s="786"/>
      <c r="AP13" s="786"/>
      <c r="AQ13" s="786"/>
    </row>
    <row r="14" spans="1:68" ht="15.95" customHeight="1">
      <c r="R14" s="793" t="s">
        <v>1204</v>
      </c>
      <c r="S14" s="793"/>
      <c r="T14" s="793"/>
      <c r="U14" s="793"/>
      <c r="V14" s="793" t="s">
        <v>4</v>
      </c>
      <c r="W14" s="793"/>
      <c r="X14" s="793"/>
      <c r="Y14" s="793"/>
      <c r="Z14" s="793" t="s">
        <v>776</v>
      </c>
      <c r="AA14" s="793"/>
      <c r="AB14" s="793"/>
      <c r="AC14" s="793"/>
      <c r="AI14" s="786"/>
      <c r="AJ14" s="786"/>
      <c r="AK14" s="786"/>
      <c r="AL14" s="786"/>
      <c r="AM14" s="786"/>
      <c r="AN14" s="786"/>
      <c r="AO14" s="786"/>
      <c r="AP14" s="786"/>
      <c r="AQ14" s="786"/>
    </row>
    <row r="15" spans="1:68" ht="15.95" customHeight="1"/>
    <row r="16" spans="1:68" ht="15.95" customHeight="1">
      <c r="C16" s="794" t="s">
        <v>816</v>
      </c>
      <c r="D16" s="794"/>
      <c r="E16" s="794"/>
      <c r="F16" s="794"/>
      <c r="G16" s="794"/>
      <c r="H16" s="794"/>
      <c r="I16" s="794"/>
      <c r="J16" s="794"/>
      <c r="K16" s="794"/>
      <c r="L16" s="794"/>
      <c r="M16" s="794"/>
      <c r="N16" s="794"/>
      <c r="O16" s="794"/>
      <c r="P16" s="794"/>
      <c r="Q16" s="794"/>
      <c r="R16" s="794" t="s">
        <v>825</v>
      </c>
      <c r="S16" s="794"/>
      <c r="T16" s="794"/>
      <c r="U16" s="794" t="s">
        <v>11</v>
      </c>
      <c r="V16" s="794"/>
      <c r="W16" s="794" t="s">
        <v>2211</v>
      </c>
      <c r="X16" s="794"/>
      <c r="Y16" s="794"/>
      <c r="Z16" s="794"/>
      <c r="AA16" s="794" t="s">
        <v>2212</v>
      </c>
      <c r="AB16" s="794"/>
      <c r="AC16" s="794"/>
      <c r="AD16" s="794"/>
      <c r="AE16" s="794" t="s">
        <v>815</v>
      </c>
      <c r="AF16" s="794"/>
      <c r="AG16" s="794"/>
      <c r="AH16" s="794"/>
      <c r="AI16" s="921" t="s">
        <v>814</v>
      </c>
      <c r="AJ16" s="921"/>
      <c r="AK16" s="921"/>
      <c r="AL16" s="921"/>
      <c r="AM16" s="794" t="s">
        <v>1205</v>
      </c>
      <c r="AN16" s="794"/>
      <c r="AO16" s="794" t="s">
        <v>725</v>
      </c>
      <c r="AP16" s="794"/>
      <c r="AQ16" s="794"/>
      <c r="AR16" s="794" t="s">
        <v>20</v>
      </c>
      <c r="AS16" s="794"/>
      <c r="AT16" s="794"/>
      <c r="AU16" s="794"/>
      <c r="AY16" s="791" t="s">
        <v>823</v>
      </c>
      <c r="AZ16" s="791" t="s">
        <v>733</v>
      </c>
      <c r="BA16" s="958" t="s">
        <v>819</v>
      </c>
      <c r="BB16" s="958"/>
      <c r="BC16" s="791" t="s">
        <v>821</v>
      </c>
      <c r="BD16" s="791" t="s">
        <v>822</v>
      </c>
      <c r="BE16" s="791" t="s">
        <v>836</v>
      </c>
      <c r="BF16" s="958" t="s">
        <v>820</v>
      </c>
      <c r="BG16" s="958"/>
      <c r="BH16" s="791" t="s">
        <v>2107</v>
      </c>
      <c r="BI16" s="791" t="s">
        <v>22</v>
      </c>
      <c r="BJ16" s="791" t="s">
        <v>837</v>
      </c>
      <c r="BK16" s="791" t="s">
        <v>185</v>
      </c>
      <c r="BL16" s="798" t="s">
        <v>25</v>
      </c>
      <c r="BM16" s="798" t="s">
        <v>1324</v>
      </c>
      <c r="BN16" s="798" t="s">
        <v>1365</v>
      </c>
      <c r="BO16" s="798" t="s">
        <v>832</v>
      </c>
      <c r="BP16" s="798" t="s">
        <v>1903</v>
      </c>
    </row>
    <row r="17" spans="1:68" ht="15.95" customHeight="1" thickBot="1">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t="s">
        <v>812</v>
      </c>
      <c r="AJ17" s="795"/>
      <c r="AK17" s="795" t="s">
        <v>813</v>
      </c>
      <c r="AL17" s="795"/>
      <c r="AM17" s="795"/>
      <c r="AN17" s="795"/>
      <c r="AO17" s="795"/>
      <c r="AP17" s="795"/>
      <c r="AQ17" s="795"/>
      <c r="AR17" s="795"/>
      <c r="AS17" s="795"/>
      <c r="AT17" s="795"/>
      <c r="AU17" s="795"/>
      <c r="AY17" s="792"/>
      <c r="AZ17" s="792"/>
      <c r="BA17" s="98" t="s">
        <v>817</v>
      </c>
      <c r="BB17" s="98" t="s">
        <v>818</v>
      </c>
      <c r="BC17" s="792"/>
      <c r="BD17" s="792" t="s">
        <v>822</v>
      </c>
      <c r="BE17" s="792"/>
      <c r="BF17" s="98" t="s">
        <v>817</v>
      </c>
      <c r="BG17" s="98" t="s">
        <v>1011</v>
      </c>
      <c r="BH17" s="792"/>
      <c r="BI17" s="792"/>
      <c r="BJ17" s="792"/>
      <c r="BK17" s="792"/>
      <c r="BL17" s="799"/>
      <c r="BM17" s="799"/>
      <c r="BN17" s="799"/>
      <c r="BO17" s="799"/>
      <c r="BP17" s="799"/>
    </row>
    <row r="18" spans="1:68" ht="15.95" customHeight="1">
      <c r="B18" s="800">
        <v>1</v>
      </c>
      <c r="C18" s="1017"/>
      <c r="D18" s="1017"/>
      <c r="E18" s="1017"/>
      <c r="F18" s="1017"/>
      <c r="G18" s="1017"/>
      <c r="H18" s="1017"/>
      <c r="I18" s="1017"/>
      <c r="J18" s="1017"/>
      <c r="K18" s="1017"/>
      <c r="L18" s="1017"/>
      <c r="M18" s="1017"/>
      <c r="N18" s="1017"/>
      <c r="O18" s="1017"/>
      <c r="P18" s="1017"/>
      <c r="Q18" s="1017"/>
      <c r="R18" s="1019" t="str">
        <f>IF(C18="","",INDEX(STDREFRIG_N[Current Unit],MATCH(C18,STDREFRIG_N[Measure Name],0)))</f>
        <v/>
      </c>
      <c r="S18" s="1019"/>
      <c r="T18" s="1019"/>
      <c r="U18" s="1021"/>
      <c r="V18" s="1021"/>
      <c r="W18" s="1017"/>
      <c r="X18" s="1017"/>
      <c r="Y18" s="1017"/>
      <c r="Z18" s="1017"/>
      <c r="AA18" s="1017"/>
      <c r="AB18" s="1017"/>
      <c r="AC18" s="1017"/>
      <c r="AD18" s="1017"/>
      <c r="AE18" s="1017"/>
      <c r="AF18" s="1017"/>
      <c r="AG18" s="1017"/>
      <c r="AH18" s="936"/>
      <c r="AI18" s="1035"/>
      <c r="AJ18" s="978"/>
      <c r="AK18" s="978"/>
      <c r="AL18" s="981"/>
      <c r="AM18" s="992" t="str">
        <f>IFERROR(IF(C18="","",INDEX(IF(AND(ACTIVEBONUS_N = TRUE,INDEX(STDHVAC_N[Bonus Incentive],MATCH(C18,STDHVAC_N[Measure Name],0))&lt;&gt; ""),STDHVAC_N[Bonus Incentive],STDHVAC_N[Base Incentive]),MATCH(C18,STDHVAC_N[Measure Name],0))),"")</f>
        <v/>
      </c>
      <c r="AN18" s="969"/>
      <c r="AO18" s="987" t="str">
        <f>IFERROR(IF(OR(C18="",U18="",R18="",AA18="",AE18="",AI18="",AK18=""),"",BA18),"")</f>
        <v/>
      </c>
      <c r="AP18" s="987"/>
      <c r="AQ18" s="987"/>
      <c r="AR18" s="970" t="str">
        <f>IFERROR(IF(OR(C18="",U18="",R18="",AA18="",AE18="",AI18="",AK18=""),"",IF(BK18&lt;&gt;"",BK18,IF(BP18&gt;0,BP18,ROUND(IF(AO18&lt;=0,0,MIN(AY18,BH18)),2)))),"")</f>
        <v/>
      </c>
      <c r="AS18" s="970"/>
      <c r="AT18" s="970"/>
      <c r="AU18" s="970"/>
      <c r="AV18" s="21"/>
      <c r="AY18" s="971" t="str">
        <f>IF(OR(C18="",U18="",R18="",AA18="",AE18="",AI18="",AK18=""),"",IF(AO18=0,"",ROUND(AI18+AK18,2)))</f>
        <v/>
      </c>
      <c r="AZ18" s="1024" t="str">
        <f>IFERROR(IF(OR(C18="",U18="",R18="",AA18="",AE18="",AI18="",AK18=""),"",INDEX(STDREFRIG_N[Current Unit],MATCH(C18,STDREFRIG_N[Measure Name],0))),"Err")</f>
        <v/>
      </c>
      <c r="BA18" s="1026" t="str">
        <f>IF(OR(C18="",U18="",R18="",AA18="",AE18="",AI18="",AK18=""),"",ROUND(U18*INDEX(STDREFRIG_N[Electric Energy Savings (Annual kWh/unit)],MATCH(C18,STDREFRIG_N[Measure Name],0)),0))</f>
        <v/>
      </c>
      <c r="BB18" s="975" t="str">
        <f>IF(OR(C18="",U18="",R18="",AA18="",AE18="",AI18="",AK18=""),"",ROUND(U18*INDEX(STDREFRIG_N[Coincident Peak Demand Savings (kW/unit)],MATCH(C18,STDREFRIG_N[Measure Name],0)),4))</f>
        <v/>
      </c>
      <c r="BC18" s="1028"/>
      <c r="BD18" s="1028"/>
      <c r="BE18" s="1033" t="str">
        <f>IFERROR(IF(OR(C18="",U18="",R18="",AA18="",AE18="",AI18="",AK18=""),"",INDEX(STDREFRIG_N[End Use],MATCH(C18,STDREFRIG_N[Measure Name],0))),"Err")</f>
        <v/>
      </c>
      <c r="BF18" s="1028"/>
      <c r="BG18" s="1028"/>
      <c r="BH18" s="1039" t="str">
        <f>IFERROR(ROUND(U18*AM18, 2), "")</f>
        <v/>
      </c>
      <c r="BI18" s="1024" t="str">
        <f>IFERROR(IF(OR(C18="",U18="",R18="",AA18="",AE18="",AI18="",AK18="",ISNUMBER(AR18)=FALSE,AR18=0),"",INDEX(STDREFRIG_N[Measure Number],MATCH(C18,STDREFRIG_N[Measure Name],0))),"Err")</f>
        <v/>
      </c>
      <c r="BJ18" s="1038" t="str">
        <f>IFERROR(IF(BP18="",IF(AR18 &lt; BH18, "100% Total Cost", ""), ""), "")</f>
        <v/>
      </c>
      <c r="BK18" s="1024" t="str">
        <f>IFERROR(IF(OR(C18="",U18="",AA18="",AE18="",AI18="",AK18=""),"",
IF(EXPIRATION&lt;&gt;"",PROJSTATEXP,"")),"")</f>
        <v/>
      </c>
      <c r="BL18" s="959" t="str">
        <f>IFERROR(INDEX(STDREFRIG_N[Measure Life (Years)],MATCH(C18,STDREFRIG_N[Measure Name],0)),"")</f>
        <v/>
      </c>
      <c r="BM18" s="787" t="str">
        <f>IFERROR(IF(OR(C18="",U18="",R18="",AA18="",AE18="",AI18="",AK18=""),"",
ROUND(((1+ELOSS)*((BA18*INDEX(ELECCB[NPV AEC $/kWh],MATCH(BL18,ELECCB[Year Number],1)))+(BB18*INDEX(ELECCB[NPV ACC $/kW],MATCH(BL18,ELECCB[Year Number],1))))),2)),0)</f>
        <v/>
      </c>
      <c r="BN18" s="849" t="str">
        <f>IFERROR(IF(BI18="","",INDEX(STDREFRIG_N[Reporting Methodology],MATCH(C18,STDREFRIG_N[Measure Name],0))),"Err")</f>
        <v/>
      </c>
      <c r="BO18" s="787" t="str">
        <f>IFERROR(IF(OR(C18="",U18="",R18="",AA18="",AE18="",AI18="",AK18=""),"",U18*INDEX(STDREFRIG_N[Incremental Measure Cost ($/Unit)],MATCH(C18,STDREFRIG_N[Measure Name],0))),"Err")</f>
        <v/>
      </c>
      <c r="BP18" s="853"/>
    </row>
    <row r="19" spans="1:68" ht="15.95" customHeight="1">
      <c r="B19" s="800"/>
      <c r="C19" s="1018"/>
      <c r="D19" s="1018"/>
      <c r="E19" s="1018"/>
      <c r="F19" s="1018"/>
      <c r="G19" s="1018"/>
      <c r="H19" s="1018"/>
      <c r="I19" s="1018"/>
      <c r="J19" s="1018"/>
      <c r="K19" s="1018"/>
      <c r="L19" s="1018"/>
      <c r="M19" s="1018"/>
      <c r="N19" s="1018"/>
      <c r="O19" s="1018"/>
      <c r="P19" s="1018"/>
      <c r="Q19" s="1018"/>
      <c r="R19" s="1020"/>
      <c r="S19" s="1020"/>
      <c r="T19" s="1020"/>
      <c r="U19" s="1022"/>
      <c r="V19" s="1022"/>
      <c r="W19" s="1018"/>
      <c r="X19" s="1018"/>
      <c r="Y19" s="1018"/>
      <c r="Z19" s="1018"/>
      <c r="AA19" s="1018"/>
      <c r="AB19" s="1018"/>
      <c r="AC19" s="1018"/>
      <c r="AD19" s="1018"/>
      <c r="AE19" s="1018"/>
      <c r="AF19" s="1018"/>
      <c r="AG19" s="1018"/>
      <c r="AH19" s="1029"/>
      <c r="AI19" s="1030"/>
      <c r="AJ19" s="980"/>
      <c r="AK19" s="980"/>
      <c r="AL19" s="982"/>
      <c r="AM19" s="1023"/>
      <c r="AN19" s="970"/>
      <c r="AO19" s="988"/>
      <c r="AP19" s="988"/>
      <c r="AQ19" s="988"/>
      <c r="AR19" s="970"/>
      <c r="AS19" s="970"/>
      <c r="AT19" s="970"/>
      <c r="AU19" s="970"/>
      <c r="AV19" s="21"/>
      <c r="AY19" s="972"/>
      <c r="AZ19" s="1025"/>
      <c r="BA19" s="1027"/>
      <c r="BB19" s="976"/>
      <c r="BC19" s="962"/>
      <c r="BD19" s="962"/>
      <c r="BE19" s="1034"/>
      <c r="BF19" s="962"/>
      <c r="BG19" s="962"/>
      <c r="BH19" s="1040"/>
      <c r="BI19" s="1025"/>
      <c r="BJ19" s="1024"/>
      <c r="BK19" s="1025"/>
      <c r="BL19" s="960"/>
      <c r="BM19" s="788"/>
      <c r="BN19" s="850"/>
      <c r="BO19" s="788"/>
      <c r="BP19" s="854"/>
    </row>
    <row r="20" spans="1:68" ht="15.95" customHeight="1">
      <c r="A20" s="76"/>
      <c r="B20" s="800">
        <v>2</v>
      </c>
      <c r="C20" s="1018"/>
      <c r="D20" s="1018"/>
      <c r="E20" s="1018"/>
      <c r="F20" s="1018"/>
      <c r="G20" s="1018"/>
      <c r="H20" s="1018"/>
      <c r="I20" s="1018"/>
      <c r="J20" s="1018"/>
      <c r="K20" s="1018"/>
      <c r="L20" s="1018"/>
      <c r="M20" s="1018"/>
      <c r="N20" s="1018"/>
      <c r="O20" s="1018"/>
      <c r="P20" s="1018"/>
      <c r="Q20" s="1018"/>
      <c r="R20" s="1020" t="str">
        <f>IF(C20="","",INDEX(STDREFRIG_N[Current Unit],MATCH(C20,STDREFRIG_N[Measure Name],0)))</f>
        <v/>
      </c>
      <c r="S20" s="1020"/>
      <c r="T20" s="1020"/>
      <c r="U20" s="1022"/>
      <c r="V20" s="1022"/>
      <c r="W20" s="1018"/>
      <c r="X20" s="1018"/>
      <c r="Y20" s="1018"/>
      <c r="Z20" s="1018"/>
      <c r="AA20" s="1018"/>
      <c r="AB20" s="1018"/>
      <c r="AC20" s="1018"/>
      <c r="AD20" s="1018"/>
      <c r="AE20" s="1018"/>
      <c r="AF20" s="1018"/>
      <c r="AG20" s="1018"/>
      <c r="AH20" s="1029"/>
      <c r="AI20" s="1030"/>
      <c r="AJ20" s="980"/>
      <c r="AK20" s="980"/>
      <c r="AL20" s="982"/>
      <c r="AM20" s="1031" t="str">
        <f>IFERROR(IF(C20="","",INDEX(IF(AND(ACTIVEBONUS_N = TRUE,INDEX(STDHVAC_N[Bonus Incentive],MATCH(C20,STDHVAC_N[Measure Name],0))&lt;&gt; ""),STDHVAC_N[Bonus Incentive],STDHVAC_N[Base Incentive]),MATCH(C20,STDHVAC_N[Measure Name],0))),"")</f>
        <v/>
      </c>
      <c r="AN20" s="999"/>
      <c r="AO20" s="988" t="str">
        <f>IFERROR(IF(OR(C20="",U20="",R20="",AA20="",AE20="",AI20="",AK20=""),"",BA20),"")</f>
        <v/>
      </c>
      <c r="AP20" s="988"/>
      <c r="AQ20" s="988"/>
      <c r="AR20" s="970" t="str">
        <f>IFERROR(IF(OR(C20="",U20="",R20="",AA20="",AE20="",AI20="",AK20=""),"",IF(BK20&lt;&gt;"",BK20,IF(BP20&gt;0,BP20,ROUND(IF(AO20&lt;=0,0,MIN(AY20,BH20)),2)))),"")</f>
        <v/>
      </c>
      <c r="AS20" s="970"/>
      <c r="AT20" s="970"/>
      <c r="AU20" s="970"/>
      <c r="AV20" s="21"/>
      <c r="AY20" s="971" t="str">
        <f>IF(OR(C20="",U20="",R20="",AA20="",AE20="",AI20="",AK20=""),"",IF(AO20=0,"",ROUND(AI20+AK20,2)))</f>
        <v/>
      </c>
      <c r="AZ20" s="1024" t="str">
        <f>IFERROR(IF(OR(C20="",U20="",R20="",AA20="",AE20="",AI20="",AK20=""),"",INDEX(STDREFRIG_N[Current Unit],MATCH(C20,STDREFRIG_N[Measure Name],0))),"Err")</f>
        <v/>
      </c>
      <c r="BA20" s="1026" t="str">
        <f>IF(OR(C20="",U20="",R20="",AA20="",AE20="",AI20="",AK20=""),"",ROUND(U20*INDEX(STDREFRIG_N[Electric Energy Savings (Annual kWh/unit)],MATCH(C20,STDREFRIG_N[Measure Name],0)),0))</f>
        <v/>
      </c>
      <c r="BB20" s="975" t="str">
        <f>IF(OR(C20="",U20="",R20="",AA20="",AE20="",AI20="",AK20=""),"",ROUND(U20*INDEX(STDREFRIG_N[Coincident Peak Demand Savings (kW/unit)],MATCH(C20,STDREFRIG_N[Measure Name],0)),4))</f>
        <v/>
      </c>
      <c r="BC20" s="962"/>
      <c r="BD20" s="962"/>
      <c r="BE20" s="1033" t="str">
        <f>IFERROR(IF(OR(C20="",U20="",R20="",AA20="",AE20="",AI20="",AK20=""),"",INDEX(STDREFRIG_N[End Use],MATCH(C20,STDREFRIG_N[Measure Name],0))),"Err")</f>
        <v/>
      </c>
      <c r="BF20" s="962"/>
      <c r="BG20" s="962"/>
      <c r="BH20" s="1041" t="str">
        <f>IFERROR(ROUND(U20*AM20, 2), "")</f>
        <v/>
      </c>
      <c r="BI20" s="1024" t="str">
        <f>IFERROR(IF(OR(C20="",U20="",R20="",AA20="",AE20="",AI20="",AK20="",ISNUMBER(AR20)=FALSE,AR20=0),"",INDEX(STDREFRIG_N[Measure Number],MATCH(C20,STDREFRIG_N[Measure Name],0))),"Err")</f>
        <v/>
      </c>
      <c r="BJ20" s="1037" t="str">
        <f>IFERROR(IF(BP20="",IF(AR20 &lt; BH20, "100% Total Cost", ""), ""), "")</f>
        <v/>
      </c>
      <c r="BK20" s="1024" t="str">
        <f>IFERROR(IF(OR(C20="",U20="",AA20="",AE20="",AI20="",AK20=""),"",
IF(EXPIRATION&lt;&gt;"",PROJSTATEXP,"")),"")</f>
        <v/>
      </c>
      <c r="BL20" s="959" t="str">
        <f>IFERROR(INDEX(STDREFRIG_N[Measure Life (Years)],MATCH(C20,STDREFRIG_N[Measure Name],0)),"")</f>
        <v/>
      </c>
      <c r="BM20" s="787" t="str">
        <f>IFERROR(IF(OR(C20="",U20="",R20="",AA20="",AE20="",AI20="",AK20=""),"",
ROUND(((1+ELOSS)*((BA20*INDEX(ELECCB[NPV AEC $/kWh],MATCH(BL20,ELECCB[Year Number],1)))+(BB20*INDEX(ELECCB[NPV ACC $/kW],MATCH(BL20,ELECCB[Year Number],1))))),2)),0)</f>
        <v/>
      </c>
      <c r="BN20" s="1014" t="str">
        <f>IFERROR(IF(BI20="","",INDEX(STDREFRIG_N[Reporting Methodology],MATCH(C20,STDREFRIG_N[Measure Name],0))),"Err")</f>
        <v/>
      </c>
      <c r="BO20" s="787" t="str">
        <f>IFERROR(IF(OR(C20="",U20="",R20="",AA20="",AE20="",AI20="",AK20=""),"",U20*INDEX(STDREFRIG_N[Incremental Measure Cost ($/Unit)],MATCH(C20,STDREFRIG_N[Measure Name],0))),"Err")</f>
        <v/>
      </c>
      <c r="BP20" s="853"/>
    </row>
    <row r="21" spans="1:68" ht="15.95" customHeight="1">
      <c r="B21" s="800"/>
      <c r="C21" s="1018"/>
      <c r="D21" s="1018"/>
      <c r="E21" s="1018"/>
      <c r="F21" s="1018"/>
      <c r="G21" s="1018"/>
      <c r="H21" s="1018"/>
      <c r="I21" s="1018"/>
      <c r="J21" s="1018"/>
      <c r="K21" s="1018"/>
      <c r="L21" s="1018"/>
      <c r="M21" s="1018"/>
      <c r="N21" s="1018"/>
      <c r="O21" s="1018"/>
      <c r="P21" s="1018"/>
      <c r="Q21" s="1018"/>
      <c r="R21" s="1020"/>
      <c r="S21" s="1020"/>
      <c r="T21" s="1020"/>
      <c r="U21" s="1022"/>
      <c r="V21" s="1022"/>
      <c r="W21" s="1018"/>
      <c r="X21" s="1018"/>
      <c r="Y21" s="1018"/>
      <c r="Z21" s="1018"/>
      <c r="AA21" s="1018"/>
      <c r="AB21" s="1018"/>
      <c r="AC21" s="1018"/>
      <c r="AD21" s="1018"/>
      <c r="AE21" s="1018"/>
      <c r="AF21" s="1018"/>
      <c r="AG21" s="1018"/>
      <c r="AH21" s="1029"/>
      <c r="AI21" s="1030"/>
      <c r="AJ21" s="980"/>
      <c r="AK21" s="980"/>
      <c r="AL21" s="982"/>
      <c r="AM21" s="1032"/>
      <c r="AN21" s="992"/>
      <c r="AO21" s="988"/>
      <c r="AP21" s="988"/>
      <c r="AQ21" s="988"/>
      <c r="AR21" s="970"/>
      <c r="AS21" s="970"/>
      <c r="AT21" s="970"/>
      <c r="AU21" s="970"/>
      <c r="AV21" s="21"/>
      <c r="AY21" s="972"/>
      <c r="AZ21" s="1025"/>
      <c r="BA21" s="1027"/>
      <c r="BB21" s="976"/>
      <c r="BC21" s="962"/>
      <c r="BD21" s="962"/>
      <c r="BE21" s="1034"/>
      <c r="BF21" s="962"/>
      <c r="BG21" s="962"/>
      <c r="BH21" s="1040"/>
      <c r="BI21" s="1025"/>
      <c r="BJ21" s="1024"/>
      <c r="BK21" s="1025"/>
      <c r="BL21" s="960"/>
      <c r="BM21" s="788"/>
      <c r="BN21" s="849"/>
      <c r="BO21" s="788"/>
      <c r="BP21" s="854"/>
    </row>
    <row r="22" spans="1:68" ht="15.95" customHeight="1">
      <c r="A22" s="76"/>
      <c r="B22" s="800">
        <v>3</v>
      </c>
      <c r="C22" s="1018"/>
      <c r="D22" s="1018"/>
      <c r="E22" s="1018"/>
      <c r="F22" s="1018"/>
      <c r="G22" s="1018"/>
      <c r="H22" s="1018"/>
      <c r="I22" s="1018"/>
      <c r="J22" s="1018"/>
      <c r="K22" s="1018"/>
      <c r="L22" s="1018"/>
      <c r="M22" s="1018"/>
      <c r="N22" s="1018"/>
      <c r="O22" s="1018"/>
      <c r="P22" s="1018"/>
      <c r="Q22" s="1018"/>
      <c r="R22" s="1020" t="str">
        <f>IF(C22="","",INDEX(STDREFRIG_N[Current Unit],MATCH(C22,STDREFRIG_N[Measure Name],0)))</f>
        <v/>
      </c>
      <c r="S22" s="1020"/>
      <c r="T22" s="1020"/>
      <c r="U22" s="1022"/>
      <c r="V22" s="1022"/>
      <c r="W22" s="1018"/>
      <c r="X22" s="1018"/>
      <c r="Y22" s="1018"/>
      <c r="Z22" s="1018"/>
      <c r="AA22" s="1018"/>
      <c r="AB22" s="1018"/>
      <c r="AC22" s="1018"/>
      <c r="AD22" s="1018"/>
      <c r="AE22" s="1018"/>
      <c r="AF22" s="1018"/>
      <c r="AG22" s="1018"/>
      <c r="AH22" s="1029"/>
      <c r="AI22" s="1030"/>
      <c r="AJ22" s="980"/>
      <c r="AK22" s="980"/>
      <c r="AL22" s="982"/>
      <c r="AM22" s="1031" t="str">
        <f>IFERROR(IF(C22="","",INDEX(IF(AND(ACTIVEBONUS_N = TRUE,INDEX(STDHVAC_N[Bonus Incentive],MATCH(C22,STDHVAC_N[Measure Name],0))&lt;&gt; ""),STDHVAC_N[Bonus Incentive],STDHVAC_N[Base Incentive]),MATCH(C22,STDHVAC_N[Measure Name],0))),"")</f>
        <v/>
      </c>
      <c r="AN22" s="999"/>
      <c r="AO22" s="988" t="str">
        <f>IFERROR(IF(OR(C22="",U22="",R22="",AA22="",AE22="",AI22="",AK22=""),"",BA22),"")</f>
        <v/>
      </c>
      <c r="AP22" s="988"/>
      <c r="AQ22" s="988"/>
      <c r="AR22" s="970" t="str">
        <f>IFERROR(IF(OR(C22="",U22="",R22="",AA22="",AE22="",AI22="",AK22=""),"",IF(BK22&lt;&gt;"",BK22,IF(BP22&gt;0,BP22,ROUND(IF(AO22&lt;=0,0,MIN(AY22,BH22)),2)))),"")</f>
        <v/>
      </c>
      <c r="AS22" s="970"/>
      <c r="AT22" s="970"/>
      <c r="AU22" s="970"/>
      <c r="AV22" s="21"/>
      <c r="AY22" s="971" t="str">
        <f>IF(OR(C22="",U22="",R22="",AA22="",AE22="",AI22="",AK22=""),"",IF(AO22=0,"",ROUND(AI22+AK22,2)))</f>
        <v/>
      </c>
      <c r="AZ22" s="1024" t="str">
        <f>IFERROR(IF(OR(C22="",U22="",R22="",AA22="",AE22="",AI22="",AK22=""),"",INDEX(STDREFRIG_N[Current Unit],MATCH(C22,STDREFRIG_N[Measure Name],0))),"Err")</f>
        <v/>
      </c>
      <c r="BA22" s="1026" t="str">
        <f>IF(OR(C22="",U22="",R22="",AA22="",AE22="",AI22="",AK22=""),"",ROUND(U22*INDEX(STDREFRIG_N[Electric Energy Savings (Annual kWh/unit)],MATCH(C22,STDREFRIG_N[Measure Name],0)),0))</f>
        <v/>
      </c>
      <c r="BB22" s="975" t="str">
        <f>IF(OR(C22="",U22="",R22="",AA22="",AE22="",AI22="",AK22=""),"",ROUND(U22*INDEX(STDREFRIG_N[Coincident Peak Demand Savings (kW/unit)],MATCH(C22,STDREFRIG_N[Measure Name],0)),4))</f>
        <v/>
      </c>
      <c r="BC22" s="962"/>
      <c r="BD22" s="962"/>
      <c r="BE22" s="1033" t="str">
        <f>IFERROR(IF(OR(C22="",U22="",R22="",AA22="",AE22="",AI22="",AK22=""),"",INDEX(STDREFRIG_N[End Use],MATCH(C22,STDREFRIG_N[Measure Name],0))),"Err")</f>
        <v/>
      </c>
      <c r="BF22" s="962"/>
      <c r="BG22" s="962"/>
      <c r="BH22" s="1041" t="str">
        <f>IFERROR(ROUND(U22*AM22, 2), "")</f>
        <v/>
      </c>
      <c r="BI22" s="1024" t="str">
        <f>IFERROR(IF(OR(C22="",U22="",R22="",AA22="",AE22="",AI22="",AK22="",ISNUMBER(AR22)=FALSE,AR22=0),"",INDEX(STDREFRIG_N[Measure Number],MATCH(C22,STDREFRIG_N[Measure Name],0))),"Err")</f>
        <v/>
      </c>
      <c r="BJ22" s="1037" t="str">
        <f>IFERROR(IF(BP22="",IF(AR22 &lt; BH22, "100% Total Cost", ""), ""), "")</f>
        <v/>
      </c>
      <c r="BK22" s="1024" t="str">
        <f>IFERROR(IF(OR(C22="",U22="",AA22="",AE22="",AI22="",AK22=""),"",
IF(EXPIRATION&lt;&gt;"",PROJSTATEXP,"")),"")</f>
        <v/>
      </c>
      <c r="BL22" s="959" t="str">
        <f>IFERROR(INDEX(STDREFRIG_N[Measure Life (Years)],MATCH(C22,STDREFRIG_N[Measure Name],0)),"")</f>
        <v/>
      </c>
      <c r="BM22" s="787" t="str">
        <f>IFERROR(IF(OR(C22="",U22="",R22="",AA22="",AE22="",AI22="",AK22=""),"",
ROUND(((1+ELOSS)*((BA22*INDEX(ELECCB[NPV AEC $/kWh],MATCH(BL22,ELECCB[Year Number],1)))+(BB22*INDEX(ELECCB[NPV ACC $/kW],MATCH(BL22,ELECCB[Year Number],1))))),2)),0)</f>
        <v/>
      </c>
      <c r="BN22" s="1014" t="str">
        <f>IFERROR(IF(BI22="","",INDEX(STDREFRIG_N[Reporting Methodology],MATCH(C22,STDREFRIG_N[Measure Name],0))),"Err")</f>
        <v/>
      </c>
      <c r="BO22" s="787" t="str">
        <f>IFERROR(IF(OR(C22="",U22="",R22="",AA22="",AE22="",AI22="",AK22=""),"",U22*INDEX(STDREFRIG_N[Incremental Measure Cost ($/Unit)],MATCH(C22,STDREFRIG_N[Measure Name],0))),"Err")</f>
        <v/>
      </c>
      <c r="BP22" s="853"/>
    </row>
    <row r="23" spans="1:68" ht="15.95" customHeight="1">
      <c r="B23" s="800"/>
      <c r="C23" s="1018"/>
      <c r="D23" s="1018"/>
      <c r="E23" s="1018"/>
      <c r="F23" s="1018"/>
      <c r="G23" s="1018"/>
      <c r="H23" s="1018"/>
      <c r="I23" s="1018"/>
      <c r="J23" s="1018"/>
      <c r="K23" s="1018"/>
      <c r="L23" s="1018"/>
      <c r="M23" s="1018"/>
      <c r="N23" s="1018"/>
      <c r="O23" s="1018"/>
      <c r="P23" s="1018"/>
      <c r="Q23" s="1018"/>
      <c r="R23" s="1020"/>
      <c r="S23" s="1020"/>
      <c r="T23" s="1020"/>
      <c r="U23" s="1022"/>
      <c r="V23" s="1022"/>
      <c r="W23" s="1018"/>
      <c r="X23" s="1018"/>
      <c r="Y23" s="1018"/>
      <c r="Z23" s="1018"/>
      <c r="AA23" s="1018"/>
      <c r="AB23" s="1018"/>
      <c r="AC23" s="1018"/>
      <c r="AD23" s="1018"/>
      <c r="AE23" s="1018"/>
      <c r="AF23" s="1018"/>
      <c r="AG23" s="1018"/>
      <c r="AH23" s="1029"/>
      <c r="AI23" s="1030"/>
      <c r="AJ23" s="980"/>
      <c r="AK23" s="980"/>
      <c r="AL23" s="982"/>
      <c r="AM23" s="1032"/>
      <c r="AN23" s="992"/>
      <c r="AO23" s="988"/>
      <c r="AP23" s="988"/>
      <c r="AQ23" s="988"/>
      <c r="AR23" s="970"/>
      <c r="AS23" s="970"/>
      <c r="AT23" s="970"/>
      <c r="AU23" s="970"/>
      <c r="AV23" s="21"/>
      <c r="AY23" s="972"/>
      <c r="AZ23" s="1025"/>
      <c r="BA23" s="1027"/>
      <c r="BB23" s="976"/>
      <c r="BC23" s="962"/>
      <c r="BD23" s="962"/>
      <c r="BE23" s="1034"/>
      <c r="BF23" s="962"/>
      <c r="BG23" s="962"/>
      <c r="BH23" s="1040"/>
      <c r="BI23" s="1025"/>
      <c r="BJ23" s="1024"/>
      <c r="BK23" s="1025"/>
      <c r="BL23" s="960"/>
      <c r="BM23" s="788"/>
      <c r="BN23" s="849"/>
      <c r="BO23" s="788"/>
      <c r="BP23" s="854"/>
    </row>
    <row r="24" spans="1:68" ht="15.95" customHeight="1">
      <c r="B24" s="800">
        <v>4</v>
      </c>
      <c r="C24" s="1018"/>
      <c r="D24" s="1018"/>
      <c r="E24" s="1018"/>
      <c r="F24" s="1018"/>
      <c r="G24" s="1018"/>
      <c r="H24" s="1018"/>
      <c r="I24" s="1018"/>
      <c r="J24" s="1018"/>
      <c r="K24" s="1018"/>
      <c r="L24" s="1018"/>
      <c r="M24" s="1018"/>
      <c r="N24" s="1018"/>
      <c r="O24" s="1018"/>
      <c r="P24" s="1018"/>
      <c r="Q24" s="1018"/>
      <c r="R24" s="1020" t="str">
        <f>IF(C24="","",INDEX(STDREFRIG_N[Current Unit],MATCH(C24,STDREFRIG_N[Measure Name],0)))</f>
        <v/>
      </c>
      <c r="S24" s="1020"/>
      <c r="T24" s="1020"/>
      <c r="U24" s="1022"/>
      <c r="V24" s="1022"/>
      <c r="W24" s="1018"/>
      <c r="X24" s="1018"/>
      <c r="Y24" s="1018"/>
      <c r="Z24" s="1018"/>
      <c r="AA24" s="1018"/>
      <c r="AB24" s="1018"/>
      <c r="AC24" s="1018"/>
      <c r="AD24" s="1018"/>
      <c r="AE24" s="1018"/>
      <c r="AF24" s="1018"/>
      <c r="AG24" s="1018"/>
      <c r="AH24" s="1029"/>
      <c r="AI24" s="1030"/>
      <c r="AJ24" s="980"/>
      <c r="AK24" s="980"/>
      <c r="AL24" s="982"/>
      <c r="AM24" s="1031" t="str">
        <f>IFERROR(IF(C24="","",INDEX(IF(AND(ACTIVEBONUS_N = TRUE,INDEX(STDHVAC_N[Bonus Incentive],MATCH(C24,STDHVAC_N[Measure Name],0))&lt;&gt; ""),STDHVAC_N[Bonus Incentive],STDHVAC_N[Base Incentive]),MATCH(C24,STDHVAC_N[Measure Name],0))),"")</f>
        <v/>
      </c>
      <c r="AN24" s="999"/>
      <c r="AO24" s="988" t="str">
        <f>IFERROR(IF(OR(C24="",U24="",R24="",AA24="",AE24="",AI24="",AK24=""),"",BA24),"")</f>
        <v/>
      </c>
      <c r="AP24" s="988"/>
      <c r="AQ24" s="988"/>
      <c r="AR24" s="970" t="str">
        <f>IFERROR(IF(OR(C24="",U24="",R24="",AA24="",AE24="",AI24="",AK24=""),"",IF(BK24&lt;&gt;"",BK24,IF(BP24&gt;0,BP24,ROUND(IF(AO24&lt;=0,0,MIN(AY24,BH24)),2)))),"")</f>
        <v/>
      </c>
      <c r="AS24" s="970"/>
      <c r="AT24" s="970"/>
      <c r="AU24" s="970"/>
      <c r="AV24" s="21"/>
      <c r="AY24" s="971" t="str">
        <f>IF(OR(C24="",U24="",R24="",AA24="",AE24="",AI24="",AK24=""),"",IF(AO24=0,"",ROUND(AI24+AK24,2)))</f>
        <v/>
      </c>
      <c r="AZ24" s="1024" t="str">
        <f>IFERROR(IF(OR(C24="",U24="",R24="",AA24="",AE24="",AI24="",AK24=""),"",INDEX(STDREFRIG_N[Current Unit],MATCH(C24,STDREFRIG_N[Measure Name],0))),"Err")</f>
        <v/>
      </c>
      <c r="BA24" s="1026" t="str">
        <f>IF(OR(C24="",U24="",R24="",AA24="",AE24="",AI24="",AK24=""),"",ROUND(U24*INDEX(STDREFRIG_N[Electric Energy Savings (Annual kWh/unit)],MATCH(C24,STDREFRIG_N[Measure Name],0)),0))</f>
        <v/>
      </c>
      <c r="BB24" s="975" t="str">
        <f>IF(OR(C24="",U24="",R24="",AA24="",AE24="",AI24="",AK24=""),"",ROUND(U24*INDEX(STDREFRIG_N[Coincident Peak Demand Savings (kW/unit)],MATCH(C24,STDREFRIG_N[Measure Name],0)),4))</f>
        <v/>
      </c>
      <c r="BC24" s="962"/>
      <c r="BD24" s="962"/>
      <c r="BE24" s="1033" t="str">
        <f>IFERROR(IF(OR(C24="",U24="",R24="",AA24="",AE24="",AI24="",AK24=""),"",INDEX(STDREFRIG_N[End Use],MATCH(C24,STDREFRIG_N[Measure Name],0))),"Err")</f>
        <v/>
      </c>
      <c r="BF24" s="962"/>
      <c r="BG24" s="962"/>
      <c r="BH24" s="1041" t="str">
        <f>IFERROR(ROUND(U24*AM24, 2), "")</f>
        <v/>
      </c>
      <c r="BI24" s="1024" t="str">
        <f>IFERROR(IF(OR(C24="",U24="",R24="",AA24="",AE24="",AI24="",AK24="",ISNUMBER(AR24)=FALSE,AR24=0),"",INDEX(STDREFRIG_N[Measure Number],MATCH(C24,STDREFRIG_N[Measure Name],0))),"Err")</f>
        <v/>
      </c>
      <c r="BJ24" s="1037" t="str">
        <f>IFERROR(IF(BP24="",IF(AR24 &lt; BH24, "100% Total Cost", ""), ""), "")</f>
        <v/>
      </c>
      <c r="BK24" s="1024" t="str">
        <f>IFERROR(IF(OR(C24="",U24="",AA24="",AE24="",AI24="",AK24=""),"",
IF(EXPIRATION&lt;&gt;"",PROJSTATEXP,"")),"")</f>
        <v/>
      </c>
      <c r="BL24" s="959" t="str">
        <f>IFERROR(INDEX(STDREFRIG_N[Measure Life (Years)],MATCH(C24,STDREFRIG_N[Measure Name],0)),"")</f>
        <v/>
      </c>
      <c r="BM24" s="787" t="str">
        <f>IFERROR(IF(OR(C24="",U24="",R24="",AA24="",AE24="",AI24="",AK24=""),"",
ROUND(((1+ELOSS)*((BA24*INDEX(ELECCB[NPV AEC $/kWh],MATCH(BL24,ELECCB[Year Number],1)))+(BB24*INDEX(ELECCB[NPV ACC $/kW],MATCH(BL24,ELECCB[Year Number],1))))),2)),0)</f>
        <v/>
      </c>
      <c r="BN24" s="1014" t="str">
        <f>IFERROR(IF(BI24="","",INDEX(STDREFRIG_N[Reporting Methodology],MATCH(C24,STDREFRIG_N[Measure Name],0))),"Err")</f>
        <v/>
      </c>
      <c r="BO24" s="787" t="str">
        <f>IFERROR(IF(OR(C24="",U24="",R24="",AA24="",AE24="",AI24="",AK24=""),"",U24*INDEX(STDREFRIG_N[Incremental Measure Cost ($/Unit)],MATCH(C24,STDREFRIG_N[Measure Name],0))),"Err")</f>
        <v/>
      </c>
      <c r="BP24" s="853"/>
    </row>
    <row r="25" spans="1:68" ht="15.95" customHeight="1">
      <c r="A25" s="76"/>
      <c r="B25" s="800"/>
      <c r="C25" s="1018"/>
      <c r="D25" s="1018"/>
      <c r="E25" s="1018"/>
      <c r="F25" s="1018"/>
      <c r="G25" s="1018"/>
      <c r="H25" s="1018"/>
      <c r="I25" s="1018"/>
      <c r="J25" s="1018"/>
      <c r="K25" s="1018"/>
      <c r="L25" s="1018"/>
      <c r="M25" s="1018"/>
      <c r="N25" s="1018"/>
      <c r="O25" s="1018"/>
      <c r="P25" s="1018"/>
      <c r="Q25" s="1018"/>
      <c r="R25" s="1020"/>
      <c r="S25" s="1020"/>
      <c r="T25" s="1020"/>
      <c r="U25" s="1022"/>
      <c r="V25" s="1022"/>
      <c r="W25" s="1018"/>
      <c r="X25" s="1018"/>
      <c r="Y25" s="1018"/>
      <c r="Z25" s="1018"/>
      <c r="AA25" s="1018"/>
      <c r="AB25" s="1018"/>
      <c r="AC25" s="1018"/>
      <c r="AD25" s="1018"/>
      <c r="AE25" s="1018"/>
      <c r="AF25" s="1018"/>
      <c r="AG25" s="1018"/>
      <c r="AH25" s="1029"/>
      <c r="AI25" s="1030"/>
      <c r="AJ25" s="980"/>
      <c r="AK25" s="980"/>
      <c r="AL25" s="982"/>
      <c r="AM25" s="1032"/>
      <c r="AN25" s="992"/>
      <c r="AO25" s="988"/>
      <c r="AP25" s="988"/>
      <c r="AQ25" s="988"/>
      <c r="AR25" s="970"/>
      <c r="AS25" s="970"/>
      <c r="AT25" s="970"/>
      <c r="AU25" s="970"/>
      <c r="AV25" s="21"/>
      <c r="AY25" s="972"/>
      <c r="AZ25" s="1025"/>
      <c r="BA25" s="1027"/>
      <c r="BB25" s="976"/>
      <c r="BC25" s="962"/>
      <c r="BD25" s="962"/>
      <c r="BE25" s="1034"/>
      <c r="BF25" s="962"/>
      <c r="BG25" s="962"/>
      <c r="BH25" s="1040"/>
      <c r="BI25" s="1025"/>
      <c r="BJ25" s="1024"/>
      <c r="BK25" s="1025"/>
      <c r="BL25" s="960"/>
      <c r="BM25" s="788"/>
      <c r="BN25" s="849"/>
      <c r="BO25" s="788"/>
      <c r="BP25" s="854"/>
    </row>
    <row r="26" spans="1:68" ht="15.95" customHeight="1">
      <c r="B26" s="800">
        <v>5</v>
      </c>
      <c r="C26" s="1018"/>
      <c r="D26" s="1018"/>
      <c r="E26" s="1018"/>
      <c r="F26" s="1018"/>
      <c r="G26" s="1018"/>
      <c r="H26" s="1018"/>
      <c r="I26" s="1018"/>
      <c r="J26" s="1018"/>
      <c r="K26" s="1018"/>
      <c r="L26" s="1018"/>
      <c r="M26" s="1018"/>
      <c r="N26" s="1018"/>
      <c r="O26" s="1018"/>
      <c r="P26" s="1018"/>
      <c r="Q26" s="1018"/>
      <c r="R26" s="1020" t="str">
        <f>IF(C26="","",INDEX(STDREFRIG_N[Current Unit],MATCH(C26,STDREFRIG_N[Measure Name],0)))</f>
        <v/>
      </c>
      <c r="S26" s="1020"/>
      <c r="T26" s="1020"/>
      <c r="U26" s="1022"/>
      <c r="V26" s="1022"/>
      <c r="W26" s="1018"/>
      <c r="X26" s="1018"/>
      <c r="Y26" s="1018"/>
      <c r="Z26" s="1018"/>
      <c r="AA26" s="1018"/>
      <c r="AB26" s="1018"/>
      <c r="AC26" s="1018"/>
      <c r="AD26" s="1018"/>
      <c r="AE26" s="1018"/>
      <c r="AF26" s="1018"/>
      <c r="AG26" s="1018"/>
      <c r="AH26" s="1029"/>
      <c r="AI26" s="1030"/>
      <c r="AJ26" s="980"/>
      <c r="AK26" s="980"/>
      <c r="AL26" s="982"/>
      <c r="AM26" s="1031" t="str">
        <f>IFERROR(IF(C26="","",INDEX(IF(AND(ACTIVEBONUS_N = TRUE,INDEX(STDHVAC_N[Bonus Incentive],MATCH(C26,STDHVAC_N[Measure Name],0))&lt;&gt; ""),STDHVAC_N[Bonus Incentive],STDHVAC_N[Base Incentive]),MATCH(C26,STDHVAC_N[Measure Name],0))),"")</f>
        <v/>
      </c>
      <c r="AN26" s="999"/>
      <c r="AO26" s="988" t="str">
        <f>IFERROR(IF(OR(C26="",U26="",R26="",AA26="",AE26="",AI26="",AK26=""),"",BA26),"")</f>
        <v/>
      </c>
      <c r="AP26" s="988"/>
      <c r="AQ26" s="988"/>
      <c r="AR26" s="970" t="str">
        <f>IFERROR(IF(OR(C26="",U26="",R26="",AA26="",AE26="",AI26="",AK26=""),"",IF(BK26&lt;&gt;"",BK26,IF(BP26&gt;0,BP26,ROUND(IF(AO26&lt;=0,0,MIN(AY26,BH26)),2)))),"")</f>
        <v/>
      </c>
      <c r="AS26" s="970"/>
      <c r="AT26" s="970"/>
      <c r="AU26" s="970"/>
      <c r="AV26" s="21"/>
      <c r="AY26" s="971" t="str">
        <f>IF(OR(C26="",U26="",R26="",AA26="",AE26="",AI26="",AK26=""),"",IF(AO26=0,"",ROUND(AI26+AK26,2)))</f>
        <v/>
      </c>
      <c r="AZ26" s="1024" t="str">
        <f>IFERROR(IF(OR(C26="",U26="",R26="",AA26="",AE26="",AI26="",AK26=""),"",INDEX(STDREFRIG_N[Current Unit],MATCH(C26,STDREFRIG_N[Measure Name],0))),"Err")</f>
        <v/>
      </c>
      <c r="BA26" s="1026" t="str">
        <f>IF(OR(C26="",U26="",R26="",AA26="",AE26="",AI26="",AK26=""),"",ROUND(U26*INDEX(STDREFRIG_N[Electric Energy Savings (Annual kWh/unit)],MATCH(C26,STDREFRIG_N[Measure Name],0)),0))</f>
        <v/>
      </c>
      <c r="BB26" s="975" t="str">
        <f>IF(OR(C26="",U26="",R26="",AA26="",AE26="",AI26="",AK26=""),"",ROUND(U26*INDEX(STDREFRIG_N[Coincident Peak Demand Savings (kW/unit)],MATCH(C26,STDREFRIG_N[Measure Name],0)),4))</f>
        <v/>
      </c>
      <c r="BC26" s="962"/>
      <c r="BD26" s="962"/>
      <c r="BE26" s="1033" t="str">
        <f>IFERROR(IF(OR(C26="",U26="",R26="",AA26="",AE26="",AI26="",AK26=""),"",INDEX(STDREFRIG_N[End Use],MATCH(C26,STDREFRIG_N[Measure Name],0))),"Err")</f>
        <v/>
      </c>
      <c r="BF26" s="962"/>
      <c r="BG26" s="962"/>
      <c r="BH26" s="1041" t="str">
        <f>IFERROR(ROUND(U26*AM26, 2), "")</f>
        <v/>
      </c>
      <c r="BI26" s="1024" t="str">
        <f>IFERROR(IF(OR(C26="",U26="",R26="",AA26="",AE26="",AI26="",AK26="",ISNUMBER(AR26)=FALSE,AR26=0),"",INDEX(STDREFRIG_N[Measure Number],MATCH(C26,STDREFRIG_N[Measure Name],0))),"Err")</f>
        <v/>
      </c>
      <c r="BJ26" s="1037" t="str">
        <f>IFERROR(IF(BP26="",IF(AR26 &lt; BH26, "100% Total Cost", ""), ""), "")</f>
        <v/>
      </c>
      <c r="BK26" s="1024" t="str">
        <f>IFERROR(IF(OR(C26="",U26="",AA26="",AE26="",AI26="",AK26=""),"",
IF(EXPIRATION&lt;&gt;"",PROJSTATEXP,"")),"")</f>
        <v/>
      </c>
      <c r="BL26" s="959" t="str">
        <f>IFERROR(INDEX(STDREFRIG_N[Measure Life (Years)],MATCH(C26,STDREFRIG_N[Measure Name],0)),"")</f>
        <v/>
      </c>
      <c r="BM26" s="787" t="str">
        <f>IFERROR(IF(OR(C26="",U26="",R26="",AA26="",AE26="",AI26="",AK26=""),"",
ROUND(((1+ELOSS)*((BA26*INDEX(ELECCB[NPV AEC $/kWh],MATCH(BL26,ELECCB[Year Number],1)))+(BB26*INDEX(ELECCB[NPV ACC $/kW],MATCH(BL26,ELECCB[Year Number],1))))),2)),0)</f>
        <v/>
      </c>
      <c r="BN26" s="1014" t="str">
        <f>IFERROR(IF(BI26="","",INDEX(STDREFRIG_N[Reporting Methodology],MATCH(C26,STDREFRIG_N[Measure Name],0))),"Err")</f>
        <v/>
      </c>
      <c r="BO26" s="787" t="str">
        <f>IFERROR(IF(OR(C26="",U26="",R26="",AA26="",AE26="",AI26="",AK26=""),"",U26*INDEX(STDREFRIG_N[Incremental Measure Cost ($/Unit)],MATCH(C26,STDREFRIG_N[Measure Name],0))),"Err")</f>
        <v/>
      </c>
      <c r="BP26" s="853"/>
    </row>
    <row r="27" spans="1:68" ht="15.95" customHeight="1">
      <c r="B27" s="800"/>
      <c r="C27" s="1018"/>
      <c r="D27" s="1018"/>
      <c r="E27" s="1018"/>
      <c r="F27" s="1018"/>
      <c r="G27" s="1018"/>
      <c r="H27" s="1018"/>
      <c r="I27" s="1018"/>
      <c r="J27" s="1018"/>
      <c r="K27" s="1018"/>
      <c r="L27" s="1018"/>
      <c r="M27" s="1018"/>
      <c r="N27" s="1018"/>
      <c r="O27" s="1018"/>
      <c r="P27" s="1018"/>
      <c r="Q27" s="1018"/>
      <c r="R27" s="1020"/>
      <c r="S27" s="1020"/>
      <c r="T27" s="1020"/>
      <c r="U27" s="1022"/>
      <c r="V27" s="1022"/>
      <c r="W27" s="1018"/>
      <c r="X27" s="1018"/>
      <c r="Y27" s="1018"/>
      <c r="Z27" s="1018"/>
      <c r="AA27" s="1018"/>
      <c r="AB27" s="1018"/>
      <c r="AC27" s="1018"/>
      <c r="AD27" s="1018"/>
      <c r="AE27" s="1018"/>
      <c r="AF27" s="1018"/>
      <c r="AG27" s="1018"/>
      <c r="AH27" s="1029"/>
      <c r="AI27" s="1030"/>
      <c r="AJ27" s="980"/>
      <c r="AK27" s="980"/>
      <c r="AL27" s="982"/>
      <c r="AM27" s="1032"/>
      <c r="AN27" s="992"/>
      <c r="AO27" s="988"/>
      <c r="AP27" s="988"/>
      <c r="AQ27" s="988"/>
      <c r="AR27" s="970"/>
      <c r="AS27" s="970"/>
      <c r="AT27" s="970"/>
      <c r="AU27" s="970"/>
      <c r="AV27" s="21"/>
      <c r="AY27" s="972"/>
      <c r="AZ27" s="1025"/>
      <c r="BA27" s="1027"/>
      <c r="BB27" s="976"/>
      <c r="BC27" s="962"/>
      <c r="BD27" s="962"/>
      <c r="BE27" s="1034"/>
      <c r="BF27" s="962"/>
      <c r="BG27" s="962"/>
      <c r="BH27" s="1040"/>
      <c r="BI27" s="1025"/>
      <c r="BJ27" s="1024"/>
      <c r="BK27" s="1025"/>
      <c r="BL27" s="960"/>
      <c r="BM27" s="788"/>
      <c r="BN27" s="849"/>
      <c r="BO27" s="788"/>
      <c r="BP27" s="854"/>
    </row>
    <row r="28" spans="1:68" ht="15.95" customHeight="1">
      <c r="B28" s="800">
        <v>6</v>
      </c>
      <c r="C28" s="1018"/>
      <c r="D28" s="1018"/>
      <c r="E28" s="1018"/>
      <c r="F28" s="1018"/>
      <c r="G28" s="1018"/>
      <c r="H28" s="1018"/>
      <c r="I28" s="1018"/>
      <c r="J28" s="1018"/>
      <c r="K28" s="1018"/>
      <c r="L28" s="1018"/>
      <c r="M28" s="1018"/>
      <c r="N28" s="1018"/>
      <c r="O28" s="1018"/>
      <c r="P28" s="1018"/>
      <c r="Q28" s="1018"/>
      <c r="R28" s="1020" t="str">
        <f>IF(C28="","",INDEX(STDREFRIG_N[Current Unit],MATCH(C28,STDREFRIG_N[Measure Name],0)))</f>
        <v/>
      </c>
      <c r="S28" s="1020"/>
      <c r="T28" s="1020"/>
      <c r="U28" s="1022"/>
      <c r="V28" s="1022"/>
      <c r="W28" s="1018"/>
      <c r="X28" s="1018"/>
      <c r="Y28" s="1018"/>
      <c r="Z28" s="1018"/>
      <c r="AA28" s="1018"/>
      <c r="AB28" s="1018"/>
      <c r="AC28" s="1018"/>
      <c r="AD28" s="1018"/>
      <c r="AE28" s="1018"/>
      <c r="AF28" s="1018"/>
      <c r="AG28" s="1018"/>
      <c r="AH28" s="1029"/>
      <c r="AI28" s="1030"/>
      <c r="AJ28" s="980"/>
      <c r="AK28" s="980"/>
      <c r="AL28" s="982"/>
      <c r="AM28" s="1031" t="str">
        <f>IFERROR(IF(C28="","",INDEX(IF(AND(ACTIVEBONUS_N = TRUE,INDEX(STDHVAC_N[Bonus Incentive],MATCH(C28,STDHVAC_N[Measure Name],0))&lt;&gt; ""),STDHVAC_N[Bonus Incentive],STDHVAC_N[Base Incentive]),MATCH(C28,STDHVAC_N[Measure Name],0))),"")</f>
        <v/>
      </c>
      <c r="AN28" s="999"/>
      <c r="AO28" s="988" t="str">
        <f>IFERROR(IF(OR(C28="",U28="",R28="",AA28="",AE28="",AI28="",AK28=""),"",BA28),"")</f>
        <v/>
      </c>
      <c r="AP28" s="988"/>
      <c r="AQ28" s="988"/>
      <c r="AR28" s="970" t="str">
        <f>IFERROR(IF(OR(C28="",U28="",R28="",AA28="",AE28="",AI28="",AK28=""),"",IF(BK28&lt;&gt;"",BK28,IF(BP28&gt;0,BP28,ROUND(IF(AO28&lt;=0,0,MIN(AY28,BH28)),2)))),"")</f>
        <v/>
      </c>
      <c r="AS28" s="970"/>
      <c r="AT28" s="970"/>
      <c r="AU28" s="970"/>
      <c r="AV28" s="21"/>
      <c r="AY28" s="971" t="str">
        <f>IF(OR(C28="",U28="",R28="",AA28="",AE28="",AI28="",AK28=""),"",IF(AO28=0,"",ROUND(AI28+AK28,2)))</f>
        <v/>
      </c>
      <c r="AZ28" s="1024" t="str">
        <f>IFERROR(IF(OR(C28="",U28="",R28="",AA28="",AE28="",AI28="",AK28=""),"",INDEX(STDREFRIG_N[Current Unit],MATCH(C28,STDREFRIG_N[Measure Name],0))),"Err")</f>
        <v/>
      </c>
      <c r="BA28" s="1026" t="str">
        <f>IF(OR(C28="",U28="",R28="",AA28="",AE28="",AI28="",AK28=""),"",ROUND(U28*INDEX(STDREFRIG_N[Electric Energy Savings (Annual kWh/unit)],MATCH(C28,STDREFRIG_N[Measure Name],0)),0))</f>
        <v/>
      </c>
      <c r="BB28" s="975" t="str">
        <f>IF(OR(C28="",U28="",R28="",AA28="",AE28="",AI28="",AK28=""),"",ROUND(U28*INDEX(STDREFRIG_N[Coincident Peak Demand Savings (kW/unit)],MATCH(C28,STDREFRIG_N[Measure Name],0)),4))</f>
        <v/>
      </c>
      <c r="BC28" s="962"/>
      <c r="BD28" s="962"/>
      <c r="BE28" s="1033" t="str">
        <f>IFERROR(IF(OR(C28="",U28="",R28="",AA28="",AE28="",AI28="",AK28=""),"",INDEX(STDREFRIG_N[End Use],MATCH(C28,STDREFRIG_N[Measure Name],0))),"Err")</f>
        <v/>
      </c>
      <c r="BF28" s="962"/>
      <c r="BG28" s="962"/>
      <c r="BH28" s="1041" t="str">
        <f>IFERROR(ROUND(U28*AM28, 2), "")</f>
        <v/>
      </c>
      <c r="BI28" s="1024" t="str">
        <f>IFERROR(IF(OR(C28="",U28="",R28="",AA28="",AE28="",AI28="",AK28="",ISNUMBER(AR28)=FALSE,AR28=0),"",INDEX(STDREFRIG_N[Measure Number],MATCH(C28,STDREFRIG_N[Measure Name],0))),"Err")</f>
        <v/>
      </c>
      <c r="BJ28" s="1037" t="str">
        <f>IFERROR(IF(BP28="",IF(AR28 &lt; BH28, "100% Total Cost", ""), ""), "")</f>
        <v/>
      </c>
      <c r="BK28" s="1024" t="str">
        <f>IFERROR(IF(OR(C28="",U28="",AA28="",AE28="",AI28="",AK28=""),"",
IF(EXPIRATION&lt;&gt;"",PROJSTATEXP,"")),"")</f>
        <v/>
      </c>
      <c r="BL28" s="959" t="str">
        <f>IFERROR(INDEX(STDREFRIG_N[Measure Life (Years)],MATCH(C28,STDREFRIG_N[Measure Name],0)),"")</f>
        <v/>
      </c>
      <c r="BM28" s="787" t="str">
        <f>IFERROR(IF(OR(C28="",U28="",R28="",AA28="",AE28="",AI28="",AK28=""),"",
ROUND(((1+ELOSS)*((BA28*INDEX(ELECCB[NPV AEC $/kWh],MATCH(BL28,ELECCB[Year Number],1)))+(BB28*INDEX(ELECCB[NPV ACC $/kW],MATCH(BL28,ELECCB[Year Number],1))))),2)),0)</f>
        <v/>
      </c>
      <c r="BN28" s="1014" t="str">
        <f>IFERROR(IF(BI28="","",INDEX(STDREFRIG_N[Reporting Methodology],MATCH(C28,STDREFRIG_N[Measure Name],0))),"Err")</f>
        <v/>
      </c>
      <c r="BO28" s="787" t="str">
        <f>IFERROR(IF(OR(C28="",U28="",R28="",AA28="",AE28="",AI28="",AK28=""),"",U28*INDEX(STDREFRIG_N[Incremental Measure Cost ($/Unit)],MATCH(C28,STDREFRIG_N[Measure Name],0))),"Err")</f>
        <v/>
      </c>
      <c r="BP28" s="853"/>
    </row>
    <row r="29" spans="1:68" ht="15.95" customHeight="1">
      <c r="B29" s="800"/>
      <c r="C29" s="1018"/>
      <c r="D29" s="1018"/>
      <c r="E29" s="1018"/>
      <c r="F29" s="1018"/>
      <c r="G29" s="1018"/>
      <c r="H29" s="1018"/>
      <c r="I29" s="1018"/>
      <c r="J29" s="1018"/>
      <c r="K29" s="1018"/>
      <c r="L29" s="1018"/>
      <c r="M29" s="1018"/>
      <c r="N29" s="1018"/>
      <c r="O29" s="1018"/>
      <c r="P29" s="1018"/>
      <c r="Q29" s="1018"/>
      <c r="R29" s="1020"/>
      <c r="S29" s="1020"/>
      <c r="T29" s="1020"/>
      <c r="U29" s="1022"/>
      <c r="V29" s="1022"/>
      <c r="W29" s="1018"/>
      <c r="X29" s="1018"/>
      <c r="Y29" s="1018"/>
      <c r="Z29" s="1018"/>
      <c r="AA29" s="1018"/>
      <c r="AB29" s="1018"/>
      <c r="AC29" s="1018"/>
      <c r="AD29" s="1018"/>
      <c r="AE29" s="1018"/>
      <c r="AF29" s="1018"/>
      <c r="AG29" s="1018"/>
      <c r="AH29" s="1029"/>
      <c r="AI29" s="1030"/>
      <c r="AJ29" s="980"/>
      <c r="AK29" s="980"/>
      <c r="AL29" s="982"/>
      <c r="AM29" s="1032"/>
      <c r="AN29" s="992"/>
      <c r="AO29" s="988"/>
      <c r="AP29" s="988"/>
      <c r="AQ29" s="988"/>
      <c r="AR29" s="970"/>
      <c r="AS29" s="970"/>
      <c r="AT29" s="970"/>
      <c r="AU29" s="970"/>
      <c r="AV29" s="21"/>
      <c r="AY29" s="972"/>
      <c r="AZ29" s="1025"/>
      <c r="BA29" s="1027"/>
      <c r="BB29" s="976"/>
      <c r="BC29" s="962"/>
      <c r="BD29" s="962"/>
      <c r="BE29" s="1034"/>
      <c r="BF29" s="962"/>
      <c r="BG29" s="962"/>
      <c r="BH29" s="1040"/>
      <c r="BI29" s="1025"/>
      <c r="BJ29" s="1024"/>
      <c r="BK29" s="1025"/>
      <c r="BL29" s="960"/>
      <c r="BM29" s="788"/>
      <c r="BN29" s="849"/>
      <c r="BO29" s="788"/>
      <c r="BP29" s="854"/>
    </row>
    <row r="30" spans="1:68" ht="15.95" customHeight="1">
      <c r="B30" s="800">
        <v>7</v>
      </c>
      <c r="C30" s="1018"/>
      <c r="D30" s="1018"/>
      <c r="E30" s="1018"/>
      <c r="F30" s="1018"/>
      <c r="G30" s="1018"/>
      <c r="H30" s="1018"/>
      <c r="I30" s="1018"/>
      <c r="J30" s="1018"/>
      <c r="K30" s="1018"/>
      <c r="L30" s="1018"/>
      <c r="M30" s="1018"/>
      <c r="N30" s="1018"/>
      <c r="O30" s="1018"/>
      <c r="P30" s="1018"/>
      <c r="Q30" s="1018"/>
      <c r="R30" s="1020" t="str">
        <f>IF(C30="","",INDEX(STDREFRIG_N[Current Unit],MATCH(C30,STDREFRIG_N[Measure Name],0)))</f>
        <v/>
      </c>
      <c r="S30" s="1020"/>
      <c r="T30" s="1020"/>
      <c r="U30" s="1022"/>
      <c r="V30" s="1022"/>
      <c r="W30" s="1018"/>
      <c r="X30" s="1018"/>
      <c r="Y30" s="1018"/>
      <c r="Z30" s="1018"/>
      <c r="AA30" s="1018"/>
      <c r="AB30" s="1018"/>
      <c r="AC30" s="1018"/>
      <c r="AD30" s="1018"/>
      <c r="AE30" s="1018"/>
      <c r="AF30" s="1018"/>
      <c r="AG30" s="1018"/>
      <c r="AH30" s="1029"/>
      <c r="AI30" s="1030"/>
      <c r="AJ30" s="980"/>
      <c r="AK30" s="980"/>
      <c r="AL30" s="982"/>
      <c r="AM30" s="1031" t="str">
        <f>IFERROR(IF(C30="","",INDEX(IF(AND(ACTIVEBONUS_N = TRUE,INDEX(STDHVAC_N[Bonus Incentive],MATCH(C30,STDHVAC_N[Measure Name],0))&lt;&gt; ""),STDHVAC_N[Bonus Incentive],STDHVAC_N[Base Incentive]),MATCH(C30,STDHVAC_N[Measure Name],0))),"")</f>
        <v/>
      </c>
      <c r="AN30" s="999"/>
      <c r="AO30" s="988" t="str">
        <f>IFERROR(IF(OR(C30="",U30="",R30="",AA30="",AE30="",AI30="",AK30=""),"",BA30),"")</f>
        <v/>
      </c>
      <c r="AP30" s="988"/>
      <c r="AQ30" s="988"/>
      <c r="AR30" s="970" t="str">
        <f>IFERROR(IF(OR(C30="",U30="",R30="",AA30="",AE30="",AI30="",AK30=""),"",IF(BK30&lt;&gt;"",BK30,IF(BP30&gt;0,BP30,ROUND(IF(AO30&lt;=0,0,MIN(AY30,BH30)),2)))),"")</f>
        <v/>
      </c>
      <c r="AS30" s="970"/>
      <c r="AT30" s="970"/>
      <c r="AU30" s="970"/>
      <c r="AV30" s="21"/>
      <c r="AY30" s="971" t="str">
        <f>IF(OR(C30="",U30="",R30="",AA30="",AE30="",AI30="",AK30=""),"",IF(AO30=0,"",ROUND(AI30+AK30,2)))</f>
        <v/>
      </c>
      <c r="AZ30" s="1024" t="str">
        <f>IFERROR(IF(OR(C30="",U30="",R30="",AA30="",AE30="",AI30="",AK30=""),"",INDEX(STDREFRIG_N[Current Unit],MATCH(C30,STDREFRIG_N[Measure Name],0))),"Err")</f>
        <v/>
      </c>
      <c r="BA30" s="1026" t="str">
        <f>IF(OR(C30="",U30="",R30="",AA30="",AE30="",AI30="",AK30=""),"",ROUND(U30*INDEX(STDREFRIG_N[Electric Energy Savings (Annual kWh/unit)],MATCH(C30,STDREFRIG_N[Measure Name],0)),0))</f>
        <v/>
      </c>
      <c r="BB30" s="975" t="str">
        <f>IF(OR(C30="",U30="",R30="",AA30="",AE30="",AI30="",AK30=""),"",ROUND(U30*INDEX(STDREFRIG_N[Coincident Peak Demand Savings (kW/unit)],MATCH(C30,STDREFRIG_N[Measure Name],0)),4))</f>
        <v/>
      </c>
      <c r="BC30" s="962"/>
      <c r="BD30" s="962"/>
      <c r="BE30" s="1033" t="str">
        <f>IFERROR(IF(OR(C30="",U30="",R30="",AA30="",AE30="",AI30="",AK30=""),"",INDEX(STDREFRIG_N[End Use],MATCH(C30,STDREFRIG_N[Measure Name],0))),"Err")</f>
        <v/>
      </c>
      <c r="BF30" s="962"/>
      <c r="BG30" s="962"/>
      <c r="BH30" s="1041" t="str">
        <f>IFERROR(ROUND(U30*AM30, 2), "")</f>
        <v/>
      </c>
      <c r="BI30" s="1024" t="str">
        <f>IFERROR(IF(OR(C30="",U30="",R30="",AA30="",AE30="",AI30="",AK30="",ISNUMBER(AR30)=FALSE,AR30=0),"",INDEX(STDREFRIG_N[Measure Number],MATCH(C30,STDREFRIG_N[Measure Name],0))),"Err")</f>
        <v/>
      </c>
      <c r="BJ30" s="1037" t="str">
        <f>IFERROR(IF(BP30="",IF(AR30 &lt; BH30, "100% Total Cost", ""), ""), "")</f>
        <v/>
      </c>
      <c r="BK30" s="1024" t="str">
        <f>IFERROR(IF(OR(C30="",U30="",AA30="",AE30="",AI30="",AK30=""),"",
IF(EXPIRATION&lt;&gt;"",PROJSTATEXP,"")),"")</f>
        <v/>
      </c>
      <c r="BL30" s="959" t="str">
        <f>IFERROR(INDEX(STDREFRIG_N[Measure Life (Years)],MATCH(C30,STDREFRIG_N[Measure Name],0)),"")</f>
        <v/>
      </c>
      <c r="BM30" s="787" t="str">
        <f>IFERROR(IF(OR(C30="",U30="",R30="",AA30="",AE30="",AI30="",AK30=""),"",
ROUND(((1+ELOSS)*((BA30*INDEX(ELECCB[NPV AEC $/kWh],MATCH(BL30,ELECCB[Year Number],1)))+(BB30*INDEX(ELECCB[NPV ACC $/kW],MATCH(BL30,ELECCB[Year Number],1))))),2)),0)</f>
        <v/>
      </c>
      <c r="BN30" s="1014" t="str">
        <f>IFERROR(IF(BI30="","",INDEX(STDREFRIG_N[Reporting Methodology],MATCH(C30,STDREFRIG_N[Measure Name],0))),"Err")</f>
        <v/>
      </c>
      <c r="BO30" s="787" t="str">
        <f>IFERROR(IF(OR(C30="",U30="",R30="",AA30="",AE30="",AI30="",AK30=""),"",U30*INDEX(STDREFRIG_N[Incremental Measure Cost ($/Unit)],MATCH(C30,STDREFRIG_N[Measure Name],0))),"Err")</f>
        <v/>
      </c>
      <c r="BP30" s="853"/>
    </row>
    <row r="31" spans="1:68" ht="15.95" customHeight="1">
      <c r="B31" s="800"/>
      <c r="C31" s="1018"/>
      <c r="D31" s="1018"/>
      <c r="E31" s="1018"/>
      <c r="F31" s="1018"/>
      <c r="G31" s="1018"/>
      <c r="H31" s="1018"/>
      <c r="I31" s="1018"/>
      <c r="J31" s="1018"/>
      <c r="K31" s="1018"/>
      <c r="L31" s="1018"/>
      <c r="M31" s="1018"/>
      <c r="N31" s="1018"/>
      <c r="O31" s="1018"/>
      <c r="P31" s="1018"/>
      <c r="Q31" s="1018"/>
      <c r="R31" s="1020"/>
      <c r="S31" s="1020"/>
      <c r="T31" s="1020"/>
      <c r="U31" s="1022"/>
      <c r="V31" s="1022"/>
      <c r="W31" s="1018"/>
      <c r="X31" s="1018"/>
      <c r="Y31" s="1018"/>
      <c r="Z31" s="1018"/>
      <c r="AA31" s="1018"/>
      <c r="AB31" s="1018"/>
      <c r="AC31" s="1018"/>
      <c r="AD31" s="1018"/>
      <c r="AE31" s="1018"/>
      <c r="AF31" s="1018"/>
      <c r="AG31" s="1018"/>
      <c r="AH31" s="1029"/>
      <c r="AI31" s="1030"/>
      <c r="AJ31" s="980"/>
      <c r="AK31" s="980"/>
      <c r="AL31" s="982"/>
      <c r="AM31" s="1032"/>
      <c r="AN31" s="992"/>
      <c r="AO31" s="988"/>
      <c r="AP31" s="988"/>
      <c r="AQ31" s="988"/>
      <c r="AR31" s="970"/>
      <c r="AS31" s="970"/>
      <c r="AT31" s="970"/>
      <c r="AU31" s="970"/>
      <c r="AV31" s="21"/>
      <c r="AY31" s="972"/>
      <c r="AZ31" s="1025"/>
      <c r="BA31" s="1027"/>
      <c r="BB31" s="976"/>
      <c r="BC31" s="962"/>
      <c r="BD31" s="962"/>
      <c r="BE31" s="1034"/>
      <c r="BF31" s="962"/>
      <c r="BG31" s="962"/>
      <c r="BH31" s="1040"/>
      <c r="BI31" s="1025"/>
      <c r="BJ31" s="1024"/>
      <c r="BK31" s="1025"/>
      <c r="BL31" s="960"/>
      <c r="BM31" s="788"/>
      <c r="BN31" s="849"/>
      <c r="BO31" s="788"/>
      <c r="BP31" s="854"/>
    </row>
    <row r="32" spans="1:68" ht="15.95" customHeight="1">
      <c r="B32" s="800">
        <v>8</v>
      </c>
      <c r="C32" s="1018"/>
      <c r="D32" s="1018"/>
      <c r="E32" s="1018"/>
      <c r="F32" s="1018"/>
      <c r="G32" s="1018"/>
      <c r="H32" s="1018"/>
      <c r="I32" s="1018"/>
      <c r="J32" s="1018"/>
      <c r="K32" s="1018"/>
      <c r="L32" s="1018"/>
      <c r="M32" s="1018"/>
      <c r="N32" s="1018"/>
      <c r="O32" s="1018"/>
      <c r="P32" s="1018"/>
      <c r="Q32" s="1018"/>
      <c r="R32" s="1020" t="str">
        <f>IF(C32="","",INDEX(STDREFRIG_N[Current Unit],MATCH(C32,STDREFRIG_N[Measure Name],0)))</f>
        <v/>
      </c>
      <c r="S32" s="1020"/>
      <c r="T32" s="1020"/>
      <c r="U32" s="1022"/>
      <c r="V32" s="1022"/>
      <c r="W32" s="1018"/>
      <c r="X32" s="1018"/>
      <c r="Y32" s="1018"/>
      <c r="Z32" s="1018"/>
      <c r="AA32" s="1018"/>
      <c r="AB32" s="1018"/>
      <c r="AC32" s="1018"/>
      <c r="AD32" s="1018"/>
      <c r="AE32" s="1018"/>
      <c r="AF32" s="1018"/>
      <c r="AG32" s="1018"/>
      <c r="AH32" s="1029"/>
      <c r="AI32" s="1030"/>
      <c r="AJ32" s="980"/>
      <c r="AK32" s="980"/>
      <c r="AL32" s="982"/>
      <c r="AM32" s="1031" t="str">
        <f>IFERROR(IF(C32="","",INDEX(IF(AND(ACTIVEBONUS_N = TRUE,INDEX(STDHVAC_N[Bonus Incentive],MATCH(C32,STDHVAC_N[Measure Name],0))&lt;&gt; ""),STDHVAC_N[Bonus Incentive],STDHVAC_N[Base Incentive]),MATCH(C32,STDHVAC_N[Measure Name],0))),"")</f>
        <v/>
      </c>
      <c r="AN32" s="999"/>
      <c r="AO32" s="988" t="str">
        <f>IFERROR(IF(OR(C32="",U32="",R32="",AA32="",AE32="",AI32="",AK32=""),"",BA32),"")</f>
        <v/>
      </c>
      <c r="AP32" s="988"/>
      <c r="AQ32" s="988"/>
      <c r="AR32" s="970" t="str">
        <f>IFERROR(IF(OR(C32="",U32="",R32="",AA32="",AE32="",AI32="",AK32=""),"",IF(BK32&lt;&gt;"",BK32,IF(BP32&gt;0,BP32,ROUND(IF(AO32&lt;=0,0,MIN(AY32,BH32)),2)))),"")</f>
        <v/>
      </c>
      <c r="AS32" s="970"/>
      <c r="AT32" s="970"/>
      <c r="AU32" s="970"/>
      <c r="AV32" s="21"/>
      <c r="AY32" s="971" t="str">
        <f>IF(OR(C32="",U32="",R32="",AA32="",AE32="",AI32="",AK32=""),"",IF(AO32=0,"",ROUND(AI32+AK32,2)))</f>
        <v/>
      </c>
      <c r="AZ32" s="1024" t="str">
        <f>IFERROR(IF(OR(C32="",U32="",R32="",AA32="",AE32="",AI32="",AK32=""),"",INDEX(STDREFRIG_N[Current Unit],MATCH(C32,STDREFRIG_N[Measure Name],0))),"Err")</f>
        <v/>
      </c>
      <c r="BA32" s="1026" t="str">
        <f>IF(OR(C32="",U32="",R32="",AA32="",AE32="",AI32="",AK32=""),"",ROUND(U32*INDEX(STDREFRIG_N[Electric Energy Savings (Annual kWh/unit)],MATCH(C32,STDREFRIG_N[Measure Name],0)),0))</f>
        <v/>
      </c>
      <c r="BB32" s="975" t="str">
        <f>IF(OR(C32="",U32="",R32="",AA32="",AE32="",AI32="",AK32=""),"",ROUND(U32*INDEX(STDREFRIG_N[Coincident Peak Demand Savings (kW/unit)],MATCH(C32,STDREFRIG_N[Measure Name],0)),4))</f>
        <v/>
      </c>
      <c r="BC32" s="962"/>
      <c r="BD32" s="962"/>
      <c r="BE32" s="1033" t="str">
        <f>IFERROR(IF(OR(C32="",U32="",R32="",AA32="",AE32="",AI32="",AK32=""),"",INDEX(STDREFRIG_N[End Use],MATCH(C32,STDREFRIG_N[Measure Name],0))),"Err")</f>
        <v/>
      </c>
      <c r="BF32" s="962"/>
      <c r="BG32" s="962"/>
      <c r="BH32" s="1041" t="str">
        <f>IFERROR(ROUND(U32*AM32, 2), "")</f>
        <v/>
      </c>
      <c r="BI32" s="1024" t="str">
        <f>IFERROR(IF(OR(C32="",U32="",R32="",AA32="",AE32="",AI32="",AK32="",ISNUMBER(AR32)=FALSE,AR32=0),"",INDEX(STDREFRIG_N[Measure Number],MATCH(C32,STDREFRIG_N[Measure Name],0))),"Err")</f>
        <v/>
      </c>
      <c r="BJ32" s="1037" t="str">
        <f>IFERROR(IF(BP32="",IF(AR32 &lt; BH32, "100% Total Cost", ""), ""), "")</f>
        <v/>
      </c>
      <c r="BK32" s="1024" t="str">
        <f>IFERROR(IF(OR(C32="",U32="",AA32="",AE32="",AI32="",AK32=""),"",
IF(EXPIRATION&lt;&gt;"",PROJSTATEXP,"")),"")</f>
        <v/>
      </c>
      <c r="BL32" s="959" t="str">
        <f>IFERROR(INDEX(STDREFRIG_N[Measure Life (Years)],MATCH(C32,STDREFRIG_N[Measure Name],0)),"")</f>
        <v/>
      </c>
      <c r="BM32" s="787" t="str">
        <f>IFERROR(IF(OR(C32="",U32="",R32="",AA32="",AE32="",AI32="",AK32=""),"",
ROUND(((1+ELOSS)*((BA32*INDEX(ELECCB[NPV AEC $/kWh],MATCH(BL32,ELECCB[Year Number],1)))+(BB32*INDEX(ELECCB[NPV ACC $/kW],MATCH(BL32,ELECCB[Year Number],1))))),2)),0)</f>
        <v/>
      </c>
      <c r="BN32" s="1014" t="str">
        <f>IFERROR(IF(BI32="","",INDEX(STDREFRIG_N[Reporting Methodology],MATCH(C32,STDREFRIG_N[Measure Name],0))),"Err")</f>
        <v/>
      </c>
      <c r="BO32" s="787" t="str">
        <f>IFERROR(IF(OR(C32="",U32="",R32="",AA32="",AE32="",AI32="",AK32=""),"",U32*INDEX(STDREFRIG_N[Incremental Measure Cost ($/Unit)],MATCH(C32,STDREFRIG_N[Measure Name],0))),"Err")</f>
        <v/>
      </c>
      <c r="BP32" s="853"/>
    </row>
    <row r="33" spans="2:68" ht="15.95" customHeight="1">
      <c r="B33" s="800"/>
      <c r="C33" s="1018"/>
      <c r="D33" s="1018"/>
      <c r="E33" s="1018"/>
      <c r="F33" s="1018"/>
      <c r="G33" s="1018"/>
      <c r="H33" s="1018"/>
      <c r="I33" s="1018"/>
      <c r="J33" s="1018"/>
      <c r="K33" s="1018"/>
      <c r="L33" s="1018"/>
      <c r="M33" s="1018"/>
      <c r="N33" s="1018"/>
      <c r="O33" s="1018"/>
      <c r="P33" s="1018"/>
      <c r="Q33" s="1018"/>
      <c r="R33" s="1020"/>
      <c r="S33" s="1020"/>
      <c r="T33" s="1020"/>
      <c r="U33" s="1022"/>
      <c r="V33" s="1022"/>
      <c r="W33" s="1018"/>
      <c r="X33" s="1018"/>
      <c r="Y33" s="1018"/>
      <c r="Z33" s="1018"/>
      <c r="AA33" s="1018"/>
      <c r="AB33" s="1018"/>
      <c r="AC33" s="1018"/>
      <c r="AD33" s="1018"/>
      <c r="AE33" s="1018"/>
      <c r="AF33" s="1018"/>
      <c r="AG33" s="1018"/>
      <c r="AH33" s="1029"/>
      <c r="AI33" s="1030"/>
      <c r="AJ33" s="980"/>
      <c r="AK33" s="980"/>
      <c r="AL33" s="982"/>
      <c r="AM33" s="1032"/>
      <c r="AN33" s="992"/>
      <c r="AO33" s="988"/>
      <c r="AP33" s="988"/>
      <c r="AQ33" s="988"/>
      <c r="AR33" s="970"/>
      <c r="AS33" s="970"/>
      <c r="AT33" s="970"/>
      <c r="AU33" s="970"/>
      <c r="AV33" s="21"/>
      <c r="AY33" s="972"/>
      <c r="AZ33" s="1025"/>
      <c r="BA33" s="1027"/>
      <c r="BB33" s="976"/>
      <c r="BC33" s="962"/>
      <c r="BD33" s="962"/>
      <c r="BE33" s="1034"/>
      <c r="BF33" s="962"/>
      <c r="BG33" s="962"/>
      <c r="BH33" s="1040"/>
      <c r="BI33" s="1025"/>
      <c r="BJ33" s="1024"/>
      <c r="BK33" s="1025"/>
      <c r="BL33" s="960"/>
      <c r="BM33" s="788"/>
      <c r="BN33" s="849"/>
      <c r="BO33" s="788"/>
      <c r="BP33" s="854"/>
    </row>
    <row r="34" spans="2:68" ht="15.95" customHeight="1">
      <c r="B34" s="800">
        <v>9</v>
      </c>
      <c r="C34" s="1018"/>
      <c r="D34" s="1018"/>
      <c r="E34" s="1018"/>
      <c r="F34" s="1018"/>
      <c r="G34" s="1018"/>
      <c r="H34" s="1018"/>
      <c r="I34" s="1018"/>
      <c r="J34" s="1018"/>
      <c r="K34" s="1018"/>
      <c r="L34" s="1018"/>
      <c r="M34" s="1018"/>
      <c r="N34" s="1018"/>
      <c r="O34" s="1018"/>
      <c r="P34" s="1018"/>
      <c r="Q34" s="1018"/>
      <c r="R34" s="1020" t="str">
        <f>IF(C34="","",INDEX(STDREFRIG_N[Current Unit],MATCH(C34,STDREFRIG_N[Measure Name],0)))</f>
        <v/>
      </c>
      <c r="S34" s="1020"/>
      <c r="T34" s="1020"/>
      <c r="U34" s="1022"/>
      <c r="V34" s="1022"/>
      <c r="W34" s="1018"/>
      <c r="X34" s="1018"/>
      <c r="Y34" s="1018"/>
      <c r="Z34" s="1018"/>
      <c r="AA34" s="1018"/>
      <c r="AB34" s="1018"/>
      <c r="AC34" s="1018"/>
      <c r="AD34" s="1018"/>
      <c r="AE34" s="1018"/>
      <c r="AF34" s="1018"/>
      <c r="AG34" s="1018"/>
      <c r="AH34" s="1029"/>
      <c r="AI34" s="1030"/>
      <c r="AJ34" s="980"/>
      <c r="AK34" s="980"/>
      <c r="AL34" s="982"/>
      <c r="AM34" s="1031" t="str">
        <f>IFERROR(IF(C34="","",INDEX(IF(AND(ACTIVEBONUS_N = TRUE,INDEX(STDHVAC_N[Bonus Incentive],MATCH(C34,STDHVAC_N[Measure Name],0))&lt;&gt; ""),STDHVAC_N[Bonus Incentive],STDHVAC_N[Base Incentive]),MATCH(C34,STDHVAC_N[Measure Name],0))),"")</f>
        <v/>
      </c>
      <c r="AN34" s="999"/>
      <c r="AO34" s="988" t="str">
        <f>IFERROR(IF(OR(C34="",U34="",R34="",AA34="",AE34="",AI34="",AK34=""),"",BA34),"")</f>
        <v/>
      </c>
      <c r="AP34" s="988"/>
      <c r="AQ34" s="988"/>
      <c r="AR34" s="970" t="str">
        <f>IFERROR(IF(OR(C34="",U34="",R34="",AA34="",AE34="",AI34="",AK34=""),"",IF(BK34&lt;&gt;"",BK34,IF(BP34&gt;0,BP34,ROUND(IF(AO34&lt;=0,0,MIN(AY34,BH34)),2)))),"")</f>
        <v/>
      </c>
      <c r="AS34" s="970"/>
      <c r="AT34" s="970"/>
      <c r="AU34" s="970"/>
      <c r="AV34" s="21"/>
      <c r="AY34" s="971" t="str">
        <f>IF(OR(C34="",U34="",R34="",AA34="",AE34="",AI34="",AK34=""),"",IF(AO34=0,"",ROUND(AI34+AK34,2)))</f>
        <v/>
      </c>
      <c r="AZ34" s="1024" t="str">
        <f>IFERROR(IF(OR(C34="",U34="",R34="",AA34="",AE34="",AI34="",AK34=""),"",INDEX(STDREFRIG_N[Current Unit],MATCH(C34,STDREFRIG_N[Measure Name],0))),"Err")</f>
        <v/>
      </c>
      <c r="BA34" s="1026" t="str">
        <f>IF(OR(C34="",U34="",R34="",AA34="",AE34="",AI34="",AK34=""),"",ROUND(U34*INDEX(STDREFRIG_N[Electric Energy Savings (Annual kWh/unit)],MATCH(C34,STDREFRIG_N[Measure Name],0)),0))</f>
        <v/>
      </c>
      <c r="BB34" s="975" t="str">
        <f>IF(OR(C34="",U34="",R34="",AA34="",AE34="",AI34="",AK34=""),"",ROUND(U34*INDEX(STDREFRIG_N[Coincident Peak Demand Savings (kW/unit)],MATCH(C34,STDREFRIG_N[Measure Name],0)),4))</f>
        <v/>
      </c>
      <c r="BC34" s="962"/>
      <c r="BD34" s="962"/>
      <c r="BE34" s="1033" t="str">
        <f>IFERROR(IF(OR(C34="",U34="",R34="",AA34="",AE34="",AI34="",AK34=""),"",INDEX(STDREFRIG_N[End Use],MATCH(C34,STDREFRIG_N[Measure Name],0))),"Err")</f>
        <v/>
      </c>
      <c r="BF34" s="962"/>
      <c r="BG34" s="962"/>
      <c r="BH34" s="1041" t="str">
        <f>IFERROR(ROUND(U34*AM34, 2), "")</f>
        <v/>
      </c>
      <c r="BI34" s="1024" t="str">
        <f>IFERROR(IF(OR(C34="",U34="",R34="",AA34="",AE34="",AI34="",AK34="",ISNUMBER(AR34)=FALSE,AR34=0),"",INDEX(STDREFRIG_N[Measure Number],MATCH(C34,STDREFRIG_N[Measure Name],0))),"Err")</f>
        <v/>
      </c>
      <c r="BJ34" s="1037" t="str">
        <f>IFERROR(IF(BP34="",IF(AR34 &lt; BH34, "100% Total Cost", ""), ""), "")</f>
        <v/>
      </c>
      <c r="BK34" s="1024" t="str">
        <f>IFERROR(IF(OR(C34="",U34="",AA34="",AE34="",AI34="",AK34=""),"",
IF(EXPIRATION&lt;&gt;"",PROJSTATEXP,"")),"")</f>
        <v/>
      </c>
      <c r="BL34" s="959" t="str">
        <f>IFERROR(INDEX(STDREFRIG_N[Measure Life (Years)],MATCH(C34,STDREFRIG_N[Measure Name],0)),"")</f>
        <v/>
      </c>
      <c r="BM34" s="787" t="str">
        <f>IFERROR(IF(OR(C34="",U34="",R34="",AA34="",AE34="",AI34="",AK34=""),"",
ROUND(((1+ELOSS)*((BA34*INDEX(ELECCB[NPV AEC $/kWh],MATCH(BL34,ELECCB[Year Number],1)))+(BB34*INDEX(ELECCB[NPV ACC $/kW],MATCH(BL34,ELECCB[Year Number],1))))),2)),0)</f>
        <v/>
      </c>
      <c r="BN34" s="1014" t="str">
        <f>IFERROR(IF(BI34="","",INDEX(STDREFRIG_N[Reporting Methodology],MATCH(C34,STDREFRIG_N[Measure Name],0))),"Err")</f>
        <v/>
      </c>
      <c r="BO34" s="787" t="str">
        <f>IFERROR(IF(OR(C34="",U34="",R34="",AA34="",AE34="",AI34="",AK34=""),"",U34*INDEX(STDREFRIG_N[Incremental Measure Cost ($/Unit)],MATCH(C34,STDREFRIG_N[Measure Name],0))),"Err")</f>
        <v/>
      </c>
      <c r="BP34" s="853"/>
    </row>
    <row r="35" spans="2:68" ht="15.95" customHeight="1">
      <c r="B35" s="800"/>
      <c r="C35" s="1018"/>
      <c r="D35" s="1018"/>
      <c r="E35" s="1018"/>
      <c r="F35" s="1018"/>
      <c r="G35" s="1018"/>
      <c r="H35" s="1018"/>
      <c r="I35" s="1018"/>
      <c r="J35" s="1018"/>
      <c r="K35" s="1018"/>
      <c r="L35" s="1018"/>
      <c r="M35" s="1018"/>
      <c r="N35" s="1018"/>
      <c r="O35" s="1018"/>
      <c r="P35" s="1018"/>
      <c r="Q35" s="1018"/>
      <c r="R35" s="1020"/>
      <c r="S35" s="1020"/>
      <c r="T35" s="1020"/>
      <c r="U35" s="1022"/>
      <c r="V35" s="1022"/>
      <c r="W35" s="1018"/>
      <c r="X35" s="1018"/>
      <c r="Y35" s="1018"/>
      <c r="Z35" s="1018"/>
      <c r="AA35" s="1018"/>
      <c r="AB35" s="1018"/>
      <c r="AC35" s="1018"/>
      <c r="AD35" s="1018"/>
      <c r="AE35" s="1018"/>
      <c r="AF35" s="1018"/>
      <c r="AG35" s="1018"/>
      <c r="AH35" s="1029"/>
      <c r="AI35" s="1030"/>
      <c r="AJ35" s="980"/>
      <c r="AK35" s="980"/>
      <c r="AL35" s="982"/>
      <c r="AM35" s="1032"/>
      <c r="AN35" s="992"/>
      <c r="AO35" s="988"/>
      <c r="AP35" s="988"/>
      <c r="AQ35" s="988"/>
      <c r="AR35" s="970"/>
      <c r="AS35" s="970"/>
      <c r="AT35" s="970"/>
      <c r="AU35" s="970"/>
      <c r="AV35" s="21"/>
      <c r="AY35" s="972"/>
      <c r="AZ35" s="1025"/>
      <c r="BA35" s="1027"/>
      <c r="BB35" s="976"/>
      <c r="BC35" s="962"/>
      <c r="BD35" s="962"/>
      <c r="BE35" s="1034"/>
      <c r="BF35" s="962"/>
      <c r="BG35" s="962"/>
      <c r="BH35" s="1040"/>
      <c r="BI35" s="1025"/>
      <c r="BJ35" s="1024"/>
      <c r="BK35" s="1025"/>
      <c r="BL35" s="960"/>
      <c r="BM35" s="788"/>
      <c r="BN35" s="849"/>
      <c r="BO35" s="788"/>
      <c r="BP35" s="854"/>
    </row>
    <row r="36" spans="2:68" ht="15.95" customHeight="1">
      <c r="B36" s="800">
        <v>10</v>
      </c>
      <c r="C36" s="1018"/>
      <c r="D36" s="1018"/>
      <c r="E36" s="1018"/>
      <c r="F36" s="1018"/>
      <c r="G36" s="1018"/>
      <c r="H36" s="1018"/>
      <c r="I36" s="1018"/>
      <c r="J36" s="1018"/>
      <c r="K36" s="1018"/>
      <c r="L36" s="1018"/>
      <c r="M36" s="1018"/>
      <c r="N36" s="1018"/>
      <c r="O36" s="1018"/>
      <c r="P36" s="1018"/>
      <c r="Q36" s="1018"/>
      <c r="R36" s="1020" t="str">
        <f>IF(C36="","",INDEX(STDREFRIG_N[Current Unit],MATCH(C36,STDREFRIG_N[Measure Name],0)))</f>
        <v/>
      </c>
      <c r="S36" s="1020"/>
      <c r="T36" s="1020"/>
      <c r="U36" s="1022"/>
      <c r="V36" s="1022"/>
      <c r="W36" s="1018"/>
      <c r="X36" s="1018"/>
      <c r="Y36" s="1018"/>
      <c r="Z36" s="1018"/>
      <c r="AA36" s="1018"/>
      <c r="AB36" s="1018"/>
      <c r="AC36" s="1018"/>
      <c r="AD36" s="1018"/>
      <c r="AE36" s="1018"/>
      <c r="AF36" s="1018"/>
      <c r="AG36" s="1018"/>
      <c r="AH36" s="1029"/>
      <c r="AI36" s="1030"/>
      <c r="AJ36" s="980"/>
      <c r="AK36" s="980"/>
      <c r="AL36" s="982"/>
      <c r="AM36" s="1031" t="str">
        <f>IFERROR(IF(C36="","",INDEX(IF(AND(ACTIVEBONUS_N = TRUE,INDEX(STDHVAC_N[Bonus Incentive],MATCH(C36,STDHVAC_N[Measure Name],0))&lt;&gt; ""),STDHVAC_N[Bonus Incentive],STDHVAC_N[Base Incentive]),MATCH(C36,STDHVAC_N[Measure Name],0))),"")</f>
        <v/>
      </c>
      <c r="AN36" s="999"/>
      <c r="AO36" s="988" t="str">
        <f>IFERROR(IF(OR(C36="",U36="",R36="",AA36="",AE36="",AI36="",AK36=""),"",BA36),"")</f>
        <v/>
      </c>
      <c r="AP36" s="988"/>
      <c r="AQ36" s="988"/>
      <c r="AR36" s="970" t="str">
        <f>IFERROR(IF(OR(C36="",U36="",R36="",AA36="",AE36="",AI36="",AK36=""),"",IF(BK36&lt;&gt;"",BK36,IF(BP36&gt;0,BP36,ROUND(IF(AO36&lt;=0,0,MIN(AY36,BH36)),2)))),"")</f>
        <v/>
      </c>
      <c r="AS36" s="970"/>
      <c r="AT36" s="970"/>
      <c r="AU36" s="970"/>
      <c r="AV36" s="21"/>
      <c r="AY36" s="971" t="str">
        <f>IF(OR(C36="",U36="",R36="",AA36="",AE36="",AI36="",AK36=""),"",IF(AO36=0,"",ROUND(AI36+AK36,2)))</f>
        <v/>
      </c>
      <c r="AZ36" s="1024" t="str">
        <f>IFERROR(IF(OR(C36="",U36="",R36="",AA36="",AE36="",AI36="",AK36=""),"",INDEX(STDREFRIG_N[Current Unit],MATCH(C36,STDREFRIG_N[Measure Name],0))),"Err")</f>
        <v/>
      </c>
      <c r="BA36" s="1026" t="str">
        <f>IF(OR(C36="",U36="",R36="",AA36="",AE36="",AI36="",AK36=""),"",ROUND(U36*INDEX(STDREFRIG_N[Electric Energy Savings (Annual kWh/unit)],MATCH(C36,STDREFRIG_N[Measure Name],0)),0))</f>
        <v/>
      </c>
      <c r="BB36" s="975" t="str">
        <f>IF(OR(C36="",U36="",R36="",AA36="",AE36="",AI36="",AK36=""),"",ROUND(U36*INDEX(STDREFRIG_N[Coincident Peak Demand Savings (kW/unit)],MATCH(C36,STDREFRIG_N[Measure Name],0)),4))</f>
        <v/>
      </c>
      <c r="BC36" s="962"/>
      <c r="BD36" s="962"/>
      <c r="BE36" s="1033" t="str">
        <f>IFERROR(IF(OR(C36="",U36="",R36="",AA36="",AE36="",AI36="",AK36=""),"",INDEX(STDREFRIG_N[End Use],MATCH(C36,STDREFRIG_N[Measure Name],0))),"Err")</f>
        <v/>
      </c>
      <c r="BF36" s="962"/>
      <c r="BG36" s="962"/>
      <c r="BH36" s="1041" t="str">
        <f>IFERROR(ROUND(U36*AM36, 2), "")</f>
        <v/>
      </c>
      <c r="BI36" s="1024" t="str">
        <f>IFERROR(IF(OR(C36="",U36="",R36="",AA36="",AE36="",AI36="",AK36="",ISNUMBER(AR36)=FALSE,AR36=0),"",INDEX(STDREFRIG_N[Measure Number],MATCH(C36,STDREFRIG_N[Measure Name],0))),"Err")</f>
        <v/>
      </c>
      <c r="BJ36" s="1037" t="str">
        <f>IFERROR(IF(BP36="",IF(AR36 &lt; BH36, "100% Total Cost", ""), ""), "")</f>
        <v/>
      </c>
      <c r="BK36" s="1024" t="str">
        <f>IFERROR(IF(OR(C36="",U36="",AA36="",AE36="",AI36="",AK36=""),"",
IF(EXPIRATION&lt;&gt;"",PROJSTATEXP,"")),"")</f>
        <v/>
      </c>
      <c r="BL36" s="959" t="str">
        <f>IFERROR(INDEX(STDREFRIG_N[Measure Life (Years)],MATCH(C36,STDREFRIG_N[Measure Name],0)),"")</f>
        <v/>
      </c>
      <c r="BM36" s="787" t="str">
        <f>IFERROR(IF(OR(C36="",U36="",R36="",AA36="",AE36="",AI36="",AK36=""),"",
ROUND(((1+ELOSS)*((BA36*INDEX(ELECCB[NPV AEC $/kWh],MATCH(BL36,ELECCB[Year Number],1)))+(BB36*INDEX(ELECCB[NPV ACC $/kW],MATCH(BL36,ELECCB[Year Number],1))))),2)),0)</f>
        <v/>
      </c>
      <c r="BN36" s="1014" t="str">
        <f>IFERROR(IF(BI36="","",INDEX(STDREFRIG_N[Reporting Methodology],MATCH(C36,STDREFRIG_N[Measure Name],0))),"Err")</f>
        <v/>
      </c>
      <c r="BO36" s="787" t="str">
        <f>IFERROR(IF(OR(C36="",U36="",R36="",AA36="",AE36="",AI36="",AK36=""),"",U36*INDEX(STDREFRIG_N[Incremental Measure Cost ($/Unit)],MATCH(C36,STDREFRIG_N[Measure Name],0))),"Err")</f>
        <v/>
      </c>
      <c r="BP36" s="853"/>
    </row>
    <row r="37" spans="2:68" ht="15.95" customHeight="1">
      <c r="B37" s="800"/>
      <c r="C37" s="1018"/>
      <c r="D37" s="1018"/>
      <c r="E37" s="1018"/>
      <c r="F37" s="1018"/>
      <c r="G37" s="1018"/>
      <c r="H37" s="1018"/>
      <c r="I37" s="1018"/>
      <c r="J37" s="1018"/>
      <c r="K37" s="1018"/>
      <c r="L37" s="1018"/>
      <c r="M37" s="1018"/>
      <c r="N37" s="1018"/>
      <c r="O37" s="1018"/>
      <c r="P37" s="1018"/>
      <c r="Q37" s="1018"/>
      <c r="R37" s="1020"/>
      <c r="S37" s="1020"/>
      <c r="T37" s="1020"/>
      <c r="U37" s="1022"/>
      <c r="V37" s="1022"/>
      <c r="W37" s="1018"/>
      <c r="X37" s="1018"/>
      <c r="Y37" s="1018"/>
      <c r="Z37" s="1018"/>
      <c r="AA37" s="1018"/>
      <c r="AB37" s="1018"/>
      <c r="AC37" s="1018"/>
      <c r="AD37" s="1018"/>
      <c r="AE37" s="1018"/>
      <c r="AF37" s="1018"/>
      <c r="AG37" s="1018"/>
      <c r="AH37" s="1029"/>
      <c r="AI37" s="1030"/>
      <c r="AJ37" s="980"/>
      <c r="AK37" s="980"/>
      <c r="AL37" s="982"/>
      <c r="AM37" s="1032"/>
      <c r="AN37" s="992"/>
      <c r="AO37" s="988"/>
      <c r="AP37" s="988"/>
      <c r="AQ37" s="988"/>
      <c r="AR37" s="970"/>
      <c r="AS37" s="970"/>
      <c r="AT37" s="970"/>
      <c r="AU37" s="970"/>
      <c r="AV37" s="21"/>
      <c r="AY37" s="972"/>
      <c r="AZ37" s="1025"/>
      <c r="BA37" s="1027"/>
      <c r="BB37" s="976"/>
      <c r="BC37" s="962"/>
      <c r="BD37" s="962"/>
      <c r="BE37" s="1034"/>
      <c r="BF37" s="962"/>
      <c r="BG37" s="962"/>
      <c r="BH37" s="1040"/>
      <c r="BI37" s="1025"/>
      <c r="BJ37" s="1024"/>
      <c r="BK37" s="1025"/>
      <c r="BL37" s="960"/>
      <c r="BM37" s="788"/>
      <c r="BN37" s="849"/>
      <c r="BO37" s="788"/>
      <c r="BP37" s="854"/>
    </row>
    <row r="38" spans="2:68" ht="15.95" customHeight="1">
      <c r="AY38" s="220"/>
    </row>
    <row r="39" spans="2:68" ht="15.95" hidden="1" customHeight="1">
      <c r="AY39" s="220"/>
    </row>
    <row r="40" spans="2:68" ht="15.95" hidden="1" customHeight="1">
      <c r="AY40" s="220"/>
    </row>
    <row r="41" spans="2:68" ht="15.95" hidden="1" customHeight="1">
      <c r="AY41" s="220"/>
    </row>
    <row r="42" spans="2:68" ht="15.95" hidden="1" customHeight="1">
      <c r="AY42" s="220"/>
    </row>
    <row r="43" spans="2:68" ht="15.95" hidden="1" customHeight="1">
      <c r="AY43" s="220"/>
    </row>
    <row r="44" spans="2:68" ht="15.95" hidden="1" customHeight="1">
      <c r="AY44" s="220"/>
    </row>
    <row r="45" spans="2:68" ht="15.95" hidden="1" customHeight="1">
      <c r="AY45" s="220"/>
    </row>
    <row r="46" spans="2:68" ht="15.95" hidden="1" customHeight="1">
      <c r="AY46" s="220"/>
    </row>
    <row r="47" spans="2:68" ht="15.95" hidden="1" customHeight="1">
      <c r="AY47" s="220"/>
    </row>
    <row r="48" spans="2:68" ht="15.95" hidden="1" customHeight="1">
      <c r="BA48" s="25"/>
      <c r="BB48" s="31"/>
    </row>
    <row r="49" spans="53:54" ht="15.95" hidden="1" customHeight="1">
      <c r="BA49" s="25"/>
      <c r="BB49" s="31"/>
    </row>
    <row r="50" spans="53:54" ht="15.95" hidden="1" customHeight="1">
      <c r="BA50" s="25"/>
      <c r="BB50" s="31"/>
    </row>
    <row r="51" spans="53:54" ht="15.95" hidden="1" customHeight="1">
      <c r="BA51" s="25"/>
      <c r="BB51" s="31"/>
    </row>
    <row r="52" spans="53:54" ht="15.95" hidden="1" customHeight="1">
      <c r="BA52" s="25"/>
      <c r="BB52" s="31"/>
    </row>
    <row r="53" spans="53:54" ht="15.95" hidden="1" customHeight="1">
      <c r="BA53" s="25"/>
      <c r="BB53" s="31"/>
    </row>
    <row r="54" spans="53:54" ht="15.95" hidden="1" customHeight="1">
      <c r="BA54" s="25"/>
      <c r="BB54" s="31"/>
    </row>
    <row r="55" spans="53:54" ht="15.95" hidden="1" customHeight="1">
      <c r="BA55" s="25"/>
      <c r="BB55" s="31"/>
    </row>
    <row r="56" spans="53:54" ht="15.95" hidden="1" customHeight="1">
      <c r="BA56" s="25"/>
      <c r="BB56" s="31"/>
    </row>
    <row r="57" spans="53:54" ht="15.95" hidden="1" customHeight="1">
      <c r="BA57" s="25"/>
      <c r="BB57" s="31"/>
    </row>
    <row r="58" spans="53:54" ht="15.95" hidden="1" customHeight="1">
      <c r="BA58" s="25"/>
      <c r="BB58" s="31"/>
    </row>
    <row r="59" spans="53:54" ht="15.95" hidden="1" customHeight="1">
      <c r="BA59" s="25"/>
      <c r="BB59" s="31"/>
    </row>
    <row r="60" spans="53:54" ht="15.95" hidden="1" customHeight="1">
      <c r="BA60" s="25"/>
      <c r="BB60" s="31"/>
    </row>
    <row r="61" spans="53:54" ht="15.95" hidden="1" customHeight="1">
      <c r="BA61" s="25"/>
      <c r="BB61" s="31"/>
    </row>
    <row r="62" spans="53:54" ht="15.95" hidden="1" customHeight="1">
      <c r="BA62" s="25"/>
      <c r="BB62" s="31"/>
    </row>
    <row r="63" spans="53:54" ht="15.95" hidden="1" customHeight="1">
      <c r="BA63" s="25"/>
      <c r="BB63" s="31"/>
    </row>
    <row r="64" spans="53:54" ht="15.95" hidden="1" customHeight="1">
      <c r="BA64" s="25"/>
      <c r="BB64" s="31"/>
    </row>
    <row r="65" spans="53:54" ht="15.95" hidden="1" customHeight="1">
      <c r="BA65" s="25"/>
      <c r="BB65" s="31"/>
    </row>
    <row r="66" spans="53:54" ht="15.95" hidden="1" customHeight="1">
      <c r="BA66" s="25"/>
      <c r="BB66" s="31"/>
    </row>
    <row r="67" spans="53:54" ht="15.95" hidden="1" customHeight="1">
      <c r="BA67" s="25"/>
      <c r="BB67" s="31"/>
    </row>
    <row r="68" spans="53:54" ht="15.95" hidden="1" customHeight="1">
      <c r="BA68" s="25"/>
      <c r="BB68" s="31"/>
    </row>
    <row r="69" spans="53:54" ht="15.95" hidden="1" customHeight="1">
      <c r="BA69" s="25"/>
      <c r="BB69" s="31"/>
    </row>
    <row r="70" spans="53:54" ht="15.95" hidden="1" customHeight="1">
      <c r="BA70" s="25"/>
      <c r="BB70" s="31"/>
    </row>
    <row r="71" spans="53:54" ht="15.95" hidden="1" customHeight="1">
      <c r="BA71" s="25"/>
      <c r="BB71" s="31"/>
    </row>
    <row r="72" spans="53:54" ht="15.95" hidden="1" customHeight="1">
      <c r="BA72" s="25"/>
      <c r="BB72" s="31"/>
    </row>
    <row r="73" spans="53:54" ht="15.95" hidden="1" customHeight="1">
      <c r="BA73" s="25"/>
      <c r="BB73" s="31"/>
    </row>
    <row r="74" spans="53:54" ht="15.95" hidden="1" customHeight="1">
      <c r="BA74" s="25"/>
      <c r="BB74" s="31"/>
    </row>
    <row r="75" spans="53:54" ht="15.95" hidden="1" customHeight="1">
      <c r="BA75" s="25"/>
      <c r="BB75" s="31"/>
    </row>
    <row r="76" spans="53:54" ht="15.95" hidden="1" customHeight="1">
      <c r="BA76" s="25"/>
      <c r="BB76" s="31"/>
    </row>
    <row r="77" spans="53:54" ht="15.95" hidden="1" customHeight="1">
      <c r="BA77" s="25"/>
      <c r="BB77" s="31"/>
    </row>
    <row r="78" spans="53:54" ht="15.95" hidden="1" customHeight="1">
      <c r="BA78" s="25"/>
      <c r="BB78" s="31"/>
    </row>
    <row r="79" spans="53:54" ht="15.95" hidden="1" customHeight="1">
      <c r="BA79" s="25"/>
      <c r="BB79" s="31"/>
    </row>
    <row r="80" spans="53:54" ht="15.95" hidden="1" customHeight="1">
      <c r="BA80" s="25"/>
      <c r="BB80" s="31"/>
    </row>
    <row r="81" spans="53:54" ht="15.95" hidden="1" customHeight="1">
      <c r="BA81" s="25"/>
      <c r="BB81" s="31"/>
    </row>
    <row r="82" spans="53:54" ht="15.95" hidden="1" customHeight="1">
      <c r="BA82" s="25"/>
      <c r="BB82" s="31"/>
    </row>
    <row r="83" spans="53:54" ht="15.95" hidden="1" customHeight="1">
      <c r="BA83" s="25"/>
      <c r="BB83" s="31"/>
    </row>
    <row r="84" spans="53:54" ht="15.95" hidden="1" customHeight="1">
      <c r="BA84" s="25"/>
      <c r="BB84" s="31"/>
    </row>
    <row r="85" spans="53:54" ht="15.95" hidden="1" customHeight="1">
      <c r="BA85" s="25"/>
      <c r="BB85" s="31"/>
    </row>
    <row r="86" spans="53:54" ht="15.95" hidden="1" customHeight="1">
      <c r="BA86" s="25"/>
      <c r="BB86" s="31"/>
    </row>
    <row r="87" spans="53:54" ht="15.95" hidden="1" customHeight="1">
      <c r="BA87" s="25"/>
      <c r="BB87" s="31"/>
    </row>
    <row r="88" spans="53:54" ht="15.95" hidden="1" customHeight="1">
      <c r="BA88" s="25"/>
      <c r="BB88" s="31"/>
    </row>
    <row r="89" spans="53:54" ht="15.95" hidden="1" customHeight="1">
      <c r="BA89" s="25"/>
      <c r="BB89" s="31"/>
    </row>
    <row r="90" spans="53:54" ht="15.95" hidden="1" customHeight="1">
      <c r="BA90" s="25"/>
      <c r="BB90" s="31"/>
    </row>
    <row r="91" spans="53:54" ht="15.95" hidden="1" customHeight="1">
      <c r="BA91" s="25"/>
      <c r="BB91" s="31"/>
    </row>
    <row r="92" spans="53:54" ht="15.95" hidden="1" customHeight="1">
      <c r="BA92" s="25"/>
      <c r="BB92" s="31"/>
    </row>
    <row r="93" spans="53:54" ht="15.95" hidden="1" customHeight="1">
      <c r="BA93" s="25"/>
      <c r="BB93" s="31"/>
    </row>
    <row r="94" spans="53:54" ht="15.95" hidden="1" customHeight="1">
      <c r="BA94" s="25"/>
      <c r="BB94" s="31"/>
    </row>
    <row r="95" spans="53:54" ht="15.95" hidden="1" customHeight="1">
      <c r="BA95" s="25"/>
      <c r="BB95" s="31"/>
    </row>
    <row r="96" spans="53:54" ht="15.95" hidden="1" customHeight="1">
      <c r="BA96" s="25"/>
      <c r="BB96" s="31"/>
    </row>
    <row r="97" spans="53:54" ht="15.95" hidden="1" customHeight="1">
      <c r="BA97" s="25"/>
      <c r="BB97" s="31"/>
    </row>
    <row r="98" spans="53:54" ht="15.95" hidden="1" customHeight="1">
      <c r="BA98" s="25"/>
      <c r="BB98" s="31"/>
    </row>
    <row r="99" spans="53:54" ht="15.95" hidden="1" customHeight="1">
      <c r="BA99" s="25"/>
      <c r="BB99" s="31"/>
    </row>
    <row r="100" spans="53:54" ht="15.95" hidden="1" customHeight="1">
      <c r="BA100" s="25"/>
      <c r="BB100" s="31"/>
    </row>
    <row r="101" spans="53:54" ht="15.95" hidden="1" customHeight="1">
      <c r="BA101" s="25"/>
      <c r="BB101" s="31"/>
    </row>
    <row r="102" spans="53:54" ht="15.95" hidden="1" customHeight="1">
      <c r="BA102" s="25"/>
      <c r="BB102" s="31"/>
    </row>
    <row r="103" spans="53:54" ht="15.95" hidden="1" customHeight="1">
      <c r="BA103" s="25"/>
      <c r="BB103" s="31"/>
    </row>
    <row r="104" spans="53:54" ht="15.95" hidden="1" customHeight="1">
      <c r="BA104" s="25"/>
      <c r="BB104" s="31"/>
    </row>
    <row r="105" spans="53:54" ht="15.95" hidden="1" customHeight="1">
      <c r="BA105" s="25"/>
      <c r="BB105" s="31"/>
    </row>
    <row r="106" spans="53:54" ht="15.95" hidden="1" customHeight="1">
      <c r="BA106" s="25"/>
      <c r="BB106" s="31"/>
    </row>
    <row r="107" spans="53:54" ht="15.95" hidden="1" customHeight="1">
      <c r="BA107" s="25"/>
      <c r="BB107" s="31"/>
    </row>
    <row r="108" spans="53:54" ht="15.95" hidden="1" customHeight="1">
      <c r="BA108" s="25"/>
      <c r="BB108" s="31"/>
    </row>
    <row r="109" spans="53:54" ht="15.95" hidden="1" customHeight="1">
      <c r="BA109" s="25"/>
      <c r="BB109" s="31"/>
    </row>
    <row r="110" spans="53:54" ht="15.95" hidden="1" customHeight="1">
      <c r="BA110" s="25"/>
      <c r="BB110" s="31"/>
    </row>
    <row r="111" spans="53:54" ht="15.95" hidden="1" customHeight="1">
      <c r="BA111" s="25"/>
      <c r="BB111" s="31"/>
    </row>
    <row r="112" spans="53:54" ht="15.95" hidden="1" customHeight="1">
      <c r="BA112" s="25"/>
      <c r="BB112" s="31"/>
    </row>
    <row r="113" spans="53:54" ht="15.95" hidden="1" customHeight="1">
      <c r="BA113" s="25"/>
      <c r="BB113" s="31"/>
    </row>
    <row r="114" spans="53:54" ht="15.95" hidden="1" customHeight="1">
      <c r="BA114" s="25"/>
      <c r="BB114" s="31"/>
    </row>
    <row r="115" spans="53:54" ht="15.95" hidden="1" customHeight="1">
      <c r="BA115" s="25"/>
      <c r="BB115" s="31"/>
    </row>
    <row r="116" spans="53:54" ht="15.95" hidden="1" customHeight="1">
      <c r="BA116" s="25"/>
      <c r="BB116" s="31"/>
    </row>
    <row r="117" spans="53:54" ht="15.95" hidden="1" customHeight="1">
      <c r="BA117" s="25"/>
      <c r="BB117" s="31"/>
    </row>
    <row r="118" spans="53:54" ht="15.95" hidden="1" customHeight="1">
      <c r="BA118" s="25"/>
      <c r="BB118" s="31"/>
    </row>
    <row r="119" spans="53:54" ht="15.95" hidden="1" customHeight="1">
      <c r="BA119" s="25"/>
      <c r="BB119" s="31"/>
    </row>
    <row r="120" spans="53:54" ht="15.95" hidden="1" customHeight="1">
      <c r="BA120" s="25"/>
      <c r="BB120" s="31"/>
    </row>
    <row r="121" spans="53:54" ht="15.95" hidden="1" customHeight="1">
      <c r="BA121" s="25"/>
      <c r="BB121" s="31"/>
    </row>
    <row r="122" spans="53:54" ht="15.95" hidden="1" customHeight="1">
      <c r="BA122" s="25"/>
      <c r="BB122" s="31"/>
    </row>
    <row r="123" spans="53:54" ht="15.95" hidden="1" customHeight="1">
      <c r="BA123" s="25"/>
      <c r="BB123" s="31"/>
    </row>
    <row r="124" spans="53:54" ht="15.95" hidden="1" customHeight="1">
      <c r="BA124" s="25"/>
      <c r="BB124" s="31"/>
    </row>
    <row r="125" spans="53:54" ht="15.95" hidden="1" customHeight="1">
      <c r="BA125" s="25"/>
      <c r="BB125" s="31"/>
    </row>
    <row r="126" spans="53:54" ht="15.95" hidden="1" customHeight="1">
      <c r="BA126" s="25"/>
      <c r="BB126" s="31"/>
    </row>
    <row r="127" spans="53:54" ht="15.95" hidden="1" customHeight="1">
      <c r="BA127" s="25"/>
      <c r="BB127" s="31"/>
    </row>
    <row r="128" spans="53:54" ht="15.95" hidden="1" customHeight="1">
      <c r="BA128" s="25"/>
      <c r="BB128" s="31"/>
    </row>
    <row r="129" spans="53:54" ht="15.95" hidden="1" customHeight="1">
      <c r="BA129" s="25"/>
      <c r="BB129" s="31"/>
    </row>
    <row r="130" spans="53:54" ht="15.95" hidden="1" customHeight="1">
      <c r="BA130" s="25"/>
      <c r="BB130" s="31"/>
    </row>
    <row r="131" spans="53:54" ht="15.95" hidden="1" customHeight="1">
      <c r="BA131" s="25"/>
      <c r="BB131" s="31"/>
    </row>
    <row r="132" spans="53:54" ht="15.95" hidden="1" customHeight="1">
      <c r="BA132" s="25"/>
      <c r="BB132" s="31"/>
    </row>
    <row r="133" spans="53:54" ht="15.95" hidden="1" customHeight="1">
      <c r="BA133" s="25"/>
      <c r="BB133" s="31"/>
    </row>
    <row r="134" spans="53:54" ht="15.95" hidden="1" customHeight="1">
      <c r="BA134" s="25"/>
      <c r="BB134" s="31"/>
    </row>
    <row r="135" spans="53:54" ht="15.95" hidden="1" customHeight="1">
      <c r="BA135" s="25"/>
      <c r="BB135" s="31"/>
    </row>
    <row r="136" spans="53:54" ht="15.95" hidden="1" customHeight="1">
      <c r="BA136" s="25"/>
      <c r="BB136" s="31"/>
    </row>
    <row r="137" spans="53:54" ht="15.95" hidden="1" customHeight="1">
      <c r="BA137" s="25"/>
      <c r="BB137" s="31"/>
    </row>
    <row r="138" spans="53:54" ht="15.95" hidden="1" customHeight="1">
      <c r="BA138" s="25"/>
      <c r="BB138" s="31"/>
    </row>
    <row r="139" spans="53:54" ht="15.95" hidden="1" customHeight="1">
      <c r="BA139" s="25"/>
      <c r="BB139" s="31"/>
    </row>
    <row r="140" spans="53:54" ht="15.95" hidden="1" customHeight="1">
      <c r="BA140" s="25"/>
      <c r="BB140" s="31"/>
    </row>
    <row r="141" spans="53:54" ht="15.95" hidden="1" customHeight="1">
      <c r="BA141" s="25"/>
      <c r="BB141" s="31"/>
    </row>
    <row r="142" spans="53:54" ht="15.95" hidden="1" customHeight="1">
      <c r="BA142" s="25"/>
      <c r="BB142" s="31"/>
    </row>
    <row r="143" spans="53:54" ht="15.95" hidden="1" customHeight="1">
      <c r="BA143" s="25"/>
      <c r="BB143" s="31"/>
    </row>
    <row r="144" spans="53:54" ht="15.95" hidden="1" customHeight="1">
      <c r="BA144" s="25"/>
      <c r="BB144" s="31"/>
    </row>
    <row r="145" spans="53:54" ht="15.95" hidden="1" customHeight="1">
      <c r="BA145" s="25"/>
      <c r="BB145" s="31"/>
    </row>
    <row r="146" spans="53:54" ht="15.95" hidden="1" customHeight="1">
      <c r="BA146" s="25"/>
      <c r="BB146" s="31"/>
    </row>
    <row r="147" spans="53:54" ht="15.95" hidden="1" customHeight="1">
      <c r="BA147" s="25"/>
      <c r="BB147" s="31"/>
    </row>
    <row r="148" spans="53:54" ht="15.95" hidden="1" customHeight="1">
      <c r="BA148" s="25"/>
      <c r="BB148" s="31"/>
    </row>
    <row r="149" spans="53:54" ht="15.95" hidden="1" customHeight="1">
      <c r="BA149" s="25"/>
      <c r="BB149" s="31"/>
    </row>
    <row r="150" spans="53:54" ht="15.95" hidden="1" customHeight="1">
      <c r="BA150" s="25"/>
      <c r="BB150" s="31"/>
    </row>
    <row r="151" spans="53:54" ht="15.95" hidden="1" customHeight="1">
      <c r="BA151" s="25"/>
      <c r="BB151" s="31"/>
    </row>
    <row r="152" spans="53:54" ht="15.95" hidden="1" customHeight="1">
      <c r="BA152" s="25"/>
      <c r="BB152" s="31"/>
    </row>
    <row r="153" spans="53:54" ht="15.95" hidden="1" customHeight="1">
      <c r="BA153" s="25"/>
      <c r="BB153" s="31"/>
    </row>
    <row r="154" spans="53:54" ht="15.95" hidden="1" customHeight="1">
      <c r="BA154" s="25"/>
      <c r="BB154" s="31"/>
    </row>
    <row r="155" spans="53:54" ht="15.95" hidden="1" customHeight="1">
      <c r="BA155" s="25"/>
      <c r="BB155" s="31"/>
    </row>
    <row r="156" spans="53:54" ht="15.95" hidden="1" customHeight="1">
      <c r="BA156" s="25"/>
      <c r="BB156" s="31"/>
    </row>
    <row r="157" spans="53:54" ht="15.95" hidden="1" customHeight="1">
      <c r="BA157" s="25"/>
      <c r="BB157" s="31"/>
    </row>
    <row r="158" spans="53:54" ht="15.95" hidden="1" customHeight="1">
      <c r="BA158" s="25"/>
      <c r="BB158" s="31"/>
    </row>
    <row r="159" spans="53:54" ht="15.95" hidden="1" customHeight="1">
      <c r="BA159" s="25"/>
      <c r="BB159" s="31"/>
    </row>
    <row r="160" spans="53:54" ht="15.95" hidden="1" customHeight="1">
      <c r="BA160" s="25"/>
      <c r="BB160" s="31"/>
    </row>
    <row r="161" spans="53:54" ht="15.95" hidden="1" customHeight="1">
      <c r="BA161" s="25"/>
      <c r="BB161" s="31"/>
    </row>
    <row r="162" spans="53:54" ht="15.95" hidden="1" customHeight="1">
      <c r="BA162" s="25"/>
      <c r="BB162" s="31"/>
    </row>
    <row r="163" spans="53:54" ht="15.95" hidden="1" customHeight="1">
      <c r="BA163" s="25"/>
      <c r="BB163" s="31"/>
    </row>
    <row r="164" spans="53:54" ht="15.95" hidden="1" customHeight="1">
      <c r="BA164" s="25"/>
      <c r="BB164" s="31"/>
    </row>
    <row r="165" spans="53:54" ht="15.95" hidden="1" customHeight="1">
      <c r="BA165" s="25"/>
      <c r="BB165" s="31"/>
    </row>
    <row r="166" spans="53:54" ht="15.95" hidden="1" customHeight="1">
      <c r="BA166" s="25"/>
      <c r="BB166" s="31"/>
    </row>
    <row r="167" spans="53:54" ht="15.95" hidden="1" customHeight="1">
      <c r="BA167" s="25"/>
      <c r="BB167" s="31"/>
    </row>
    <row r="168" spans="53:54" ht="15.95" hidden="1" customHeight="1">
      <c r="BA168" s="25"/>
      <c r="BB168" s="31"/>
    </row>
    <row r="169" spans="53:54" ht="15.95" hidden="1" customHeight="1">
      <c r="BA169" s="25"/>
      <c r="BB169" s="31"/>
    </row>
    <row r="170" spans="53:54" ht="15.95" hidden="1" customHeight="1">
      <c r="BA170" s="25"/>
      <c r="BB170" s="31"/>
    </row>
    <row r="171" spans="53:54" ht="15.95" hidden="1" customHeight="1">
      <c r="BA171" s="25"/>
      <c r="BB171" s="31"/>
    </row>
    <row r="172" spans="53:54" ht="15.95" hidden="1" customHeight="1">
      <c r="BA172" s="25"/>
      <c r="BB172" s="31"/>
    </row>
    <row r="173" spans="53:54" ht="15.95" hidden="1" customHeight="1">
      <c r="BA173" s="25"/>
      <c r="BB173" s="31"/>
    </row>
    <row r="174" spans="53:54" ht="15.95" hidden="1" customHeight="1">
      <c r="BA174" s="25"/>
      <c r="BB174" s="31"/>
    </row>
    <row r="175" spans="53:54" ht="15.95" hidden="1" customHeight="1">
      <c r="BA175" s="25"/>
      <c r="BB175" s="31"/>
    </row>
    <row r="176" spans="53:54" ht="15.95" hidden="1" customHeight="1">
      <c r="BA176" s="25"/>
      <c r="BB176" s="31"/>
    </row>
    <row r="177" spans="53:54" ht="15.95" hidden="1" customHeight="1">
      <c r="BA177" s="25"/>
      <c r="BB177" s="31"/>
    </row>
    <row r="178" spans="53:54" ht="15.95" hidden="1" customHeight="1">
      <c r="BA178" s="25"/>
      <c r="BB178" s="31"/>
    </row>
    <row r="179" spans="53:54" ht="15.95" hidden="1" customHeight="1">
      <c r="BA179" s="25"/>
      <c r="BB179" s="31"/>
    </row>
    <row r="180" spans="53:54" ht="15.95" hidden="1" customHeight="1">
      <c r="BA180" s="25"/>
      <c r="BB180" s="31"/>
    </row>
    <row r="181" spans="53:54" ht="15.95" hidden="1" customHeight="1">
      <c r="BA181" s="25"/>
      <c r="BB181" s="31"/>
    </row>
    <row r="182" spans="53:54" ht="15.95" hidden="1" customHeight="1">
      <c r="BA182" s="25"/>
      <c r="BB182" s="31"/>
    </row>
    <row r="183" spans="53:54" ht="15.95" hidden="1" customHeight="1">
      <c r="BA183" s="25"/>
      <c r="BB183" s="31"/>
    </row>
    <row r="184" spans="53:54" ht="15.95" hidden="1" customHeight="1">
      <c r="BA184" s="25"/>
      <c r="BB184" s="31"/>
    </row>
    <row r="185" spans="53:54" ht="15.95" hidden="1" customHeight="1">
      <c r="BA185" s="25"/>
      <c r="BB185" s="31"/>
    </row>
    <row r="186" spans="53:54" ht="15.95" hidden="1" customHeight="1">
      <c r="BA186" s="25"/>
      <c r="BB186" s="31"/>
    </row>
    <row r="187" spans="53:54" ht="15.95" hidden="1" customHeight="1">
      <c r="BA187" s="25"/>
      <c r="BB187" s="31"/>
    </row>
    <row r="188" spans="53:54" ht="15.95" hidden="1" customHeight="1">
      <c r="BA188" s="25"/>
      <c r="BB188" s="31"/>
    </row>
    <row r="189" spans="53:54" ht="15.95" hidden="1" customHeight="1">
      <c r="BA189" s="25"/>
      <c r="BB189" s="31"/>
    </row>
    <row r="190" spans="53:54" ht="15.95" hidden="1" customHeight="1">
      <c r="BA190" s="25"/>
      <c r="BB190" s="31"/>
    </row>
    <row r="191" spans="53:54" ht="15.95" hidden="1" customHeight="1">
      <c r="BA191" s="25"/>
      <c r="BB191" s="31"/>
    </row>
    <row r="192" spans="53:54" ht="15.95" hidden="1" customHeight="1">
      <c r="BA192" s="25"/>
      <c r="BB192" s="31"/>
    </row>
    <row r="193" spans="1:54" ht="15.95" hidden="1" customHeight="1">
      <c r="BA193" s="25"/>
      <c r="BB193" s="31"/>
    </row>
    <row r="194" spans="1:54" ht="15.95" hidden="1" customHeight="1">
      <c r="BA194" s="25"/>
      <c r="BB194" s="31"/>
    </row>
    <row r="195" spans="1:54" ht="15.95" hidden="1" customHeight="1">
      <c r="BA195" s="25"/>
      <c r="BB195" s="31"/>
    </row>
    <row r="196" spans="1:54" ht="15.95" hidden="1" customHeight="1">
      <c r="BA196" s="25"/>
      <c r="BB196" s="31"/>
    </row>
    <row r="197" spans="1:54" ht="15.95" hidden="1" customHeight="1">
      <c r="BA197" s="25"/>
      <c r="BB197" s="31"/>
    </row>
    <row r="198" spans="1:54" ht="15.95" hidden="1" customHeight="1">
      <c r="BA198" s="25"/>
      <c r="BB198" s="31"/>
    </row>
    <row r="199" spans="1:54" ht="15.95" hidden="1" customHeight="1">
      <c r="BA199" s="25"/>
      <c r="BB199" s="31"/>
    </row>
    <row r="200" spans="1:54"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c r="AY200" s="1002">
        <f>SUM(AY38:AY199)</f>
        <v>0</v>
      </c>
      <c r="BA200" s="1036">
        <f>SUM(BA38:BA199)</f>
        <v>0</v>
      </c>
      <c r="BB200" s="1003">
        <f>SUM(BB38:BB199)</f>
        <v>0</v>
      </c>
    </row>
    <row r="201" spans="1:54"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c r="AY201" s="1002"/>
      <c r="BA201" s="1036"/>
      <c r="BB201" s="1003"/>
    </row>
    <row r="202" spans="1:54"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54" ht="15.95" hidden="1" customHeight="1"/>
    <row r="204" spans="1:54" ht="15.95" hidden="1" customHeight="1"/>
    <row r="205" spans="1:54" ht="15" hidden="1" customHeight="1"/>
    <row r="206" spans="1:54" ht="15" hidden="1" customHeight="1"/>
    <row r="207" spans="1:54" ht="15" hidden="1" customHeight="1"/>
    <row r="208" spans="1:54" ht="15" hidden="1" customHeight="1"/>
    <row r="209" ht="15" hidden="1" customHeight="1"/>
    <row r="210" ht="15" hidden="1" customHeight="1"/>
  </sheetData>
  <sheetProtection algorithmName="SHA-512" hashValue="Of60kYvpz9BObvHYT6Ky9z/YXfrWDGqiRpVtDMrcuA9gGOnjE+w40WySTSTzE+9HO3W8Va2oF8S0aoF9TUuoQg==" saltValue="sCkNt4ZtILEFRsARGZ7YJw==" spinCount="100000" sheet="1" objects="1" scenarios="1" selectLockedCells="1"/>
  <mergeCells count="354">
    <mergeCell ref="W34:Z35"/>
    <mergeCell ref="W36:Z37"/>
    <mergeCell ref="W16:Z17"/>
    <mergeCell ref="W18:Z19"/>
    <mergeCell ref="W20:Z21"/>
    <mergeCell ref="W22:Z23"/>
    <mergeCell ref="W24:Z25"/>
    <mergeCell ref="W26:Z27"/>
    <mergeCell ref="W28:Z29"/>
    <mergeCell ref="W30:Z31"/>
    <mergeCell ref="W32:Z33"/>
    <mergeCell ref="BN34:BN35"/>
    <mergeCell ref="BN36:BN37"/>
    <mergeCell ref="BN16:BN17"/>
    <mergeCell ref="BN18:BN19"/>
    <mergeCell ref="BN20:BN21"/>
    <mergeCell ref="BN22:BN23"/>
    <mergeCell ref="BN24:BN25"/>
    <mergeCell ref="BN26:BN27"/>
    <mergeCell ref="BN28:BN29"/>
    <mergeCell ref="BN30:BN31"/>
    <mergeCell ref="BN32:BN33"/>
    <mergeCell ref="BJ30:BJ31"/>
    <mergeCell ref="BJ32:BJ33"/>
    <mergeCell ref="BJ34:BJ35"/>
    <mergeCell ref="BJ36:BJ37"/>
    <mergeCell ref="BH16:BH17"/>
    <mergeCell ref="BJ16:BJ17"/>
    <mergeCell ref="BJ18:BJ19"/>
    <mergeCell ref="BH18:BH19"/>
    <mergeCell ref="BH20:BH21"/>
    <mergeCell ref="BH22:BH23"/>
    <mergeCell ref="BH24:BH25"/>
    <mergeCell ref="BH26:BH27"/>
    <mergeCell ref="BH28:BH29"/>
    <mergeCell ref="BH30:BH31"/>
    <mergeCell ref="BH32:BH33"/>
    <mergeCell ref="BH34:BH35"/>
    <mergeCell ref="BH36:BH37"/>
    <mergeCell ref="BJ20:BJ21"/>
    <mergeCell ref="BJ22:BJ23"/>
    <mergeCell ref="BJ24:BJ25"/>
    <mergeCell ref="BJ26:BJ27"/>
    <mergeCell ref="BJ28:BJ29"/>
    <mergeCell ref="BP34:BP35"/>
    <mergeCell ref="BP36:BP37"/>
    <mergeCell ref="BP16:BP17"/>
    <mergeCell ref="BP18:BP19"/>
    <mergeCell ref="BP20:BP21"/>
    <mergeCell ref="BP22:BP23"/>
    <mergeCell ref="BP24:BP25"/>
    <mergeCell ref="BP26:BP27"/>
    <mergeCell ref="BP28:BP29"/>
    <mergeCell ref="BP30:BP31"/>
    <mergeCell ref="BP32:BP33"/>
    <mergeCell ref="BO34:BO35"/>
    <mergeCell ref="BO36:BO37"/>
    <mergeCell ref="BO16:BO17"/>
    <mergeCell ref="BO18:BO19"/>
    <mergeCell ref="BO20:BO21"/>
    <mergeCell ref="BO22:BO23"/>
    <mergeCell ref="BO24:BO25"/>
    <mergeCell ref="BO26:BO27"/>
    <mergeCell ref="BO28:BO29"/>
    <mergeCell ref="BO30:BO31"/>
    <mergeCell ref="BO32:BO33"/>
    <mergeCell ref="BM36:BM37"/>
    <mergeCell ref="M200:AG201"/>
    <mergeCell ref="AY200:AY201"/>
    <mergeCell ref="BA200:BA201"/>
    <mergeCell ref="BB200:BB201"/>
    <mergeCell ref="A5:E6"/>
    <mergeCell ref="A7:E7"/>
    <mergeCell ref="A8:E8"/>
    <mergeCell ref="BE36:BE37"/>
    <mergeCell ref="BF36:BF37"/>
    <mergeCell ref="BG36:BG37"/>
    <mergeCell ref="BI36:BI37"/>
    <mergeCell ref="BK36:BK37"/>
    <mergeCell ref="BL36:BL37"/>
    <mergeCell ref="AY36:AY37"/>
    <mergeCell ref="AZ36:AZ37"/>
    <mergeCell ref="BA36:BA37"/>
    <mergeCell ref="BB36:BB37"/>
    <mergeCell ref="BC36:BC37"/>
    <mergeCell ref="BD36:BD37"/>
    <mergeCell ref="AE36:AH37"/>
    <mergeCell ref="AI36:AJ37"/>
    <mergeCell ref="AK36:AL37"/>
    <mergeCell ref="AM36:AN37"/>
    <mergeCell ref="AO36:AQ37"/>
    <mergeCell ref="AR36:AU37"/>
    <mergeCell ref="BG34:BG35"/>
    <mergeCell ref="BI34:BI35"/>
    <mergeCell ref="BK34:BK35"/>
    <mergeCell ref="BL34:BL35"/>
    <mergeCell ref="BM34:BM35"/>
    <mergeCell ref="B36:B37"/>
    <mergeCell ref="C36:Q37"/>
    <mergeCell ref="R36:T37"/>
    <mergeCell ref="U36:V37"/>
    <mergeCell ref="AA36:AD37"/>
    <mergeCell ref="BA34:BA35"/>
    <mergeCell ref="BB34:BB35"/>
    <mergeCell ref="BC34:BC35"/>
    <mergeCell ref="BD34:BD35"/>
    <mergeCell ref="BE34:BE35"/>
    <mergeCell ref="BF34:BF35"/>
    <mergeCell ref="AK34:AL35"/>
    <mergeCell ref="AM34:AN35"/>
    <mergeCell ref="AO34:AQ35"/>
    <mergeCell ref="AR34:AU35"/>
    <mergeCell ref="AY34:AY35"/>
    <mergeCell ref="AZ34:AZ35"/>
    <mergeCell ref="AE30:AH31"/>
    <mergeCell ref="AI30:AJ31"/>
    <mergeCell ref="BK32:BK33"/>
    <mergeCell ref="BL32:BL33"/>
    <mergeCell ref="BM32:BM33"/>
    <mergeCell ref="B34:B35"/>
    <mergeCell ref="C34:Q35"/>
    <mergeCell ref="R34:T35"/>
    <mergeCell ref="U34:V35"/>
    <mergeCell ref="AA34:AD35"/>
    <mergeCell ref="AE34:AH35"/>
    <mergeCell ref="AI34:AJ35"/>
    <mergeCell ref="BC32:BC33"/>
    <mergeCell ref="BD32:BD33"/>
    <mergeCell ref="BE32:BE33"/>
    <mergeCell ref="BF32:BF33"/>
    <mergeCell ref="BG32:BG33"/>
    <mergeCell ref="BI32:BI33"/>
    <mergeCell ref="AO32:AQ33"/>
    <mergeCell ref="AR32:AU33"/>
    <mergeCell ref="AY32:AY33"/>
    <mergeCell ref="AZ32:AZ33"/>
    <mergeCell ref="BA32:BA33"/>
    <mergeCell ref="BB32:BB33"/>
    <mergeCell ref="BG28:BG29"/>
    <mergeCell ref="BI28:BI29"/>
    <mergeCell ref="BK28:BK29"/>
    <mergeCell ref="BL28:BL29"/>
    <mergeCell ref="BM28:BM29"/>
    <mergeCell ref="BE28:BE29"/>
    <mergeCell ref="BF28:BF29"/>
    <mergeCell ref="BM30:BM31"/>
    <mergeCell ref="B32:B33"/>
    <mergeCell ref="C32:Q33"/>
    <mergeCell ref="R32:T33"/>
    <mergeCell ref="U32:V33"/>
    <mergeCell ref="AA32:AD33"/>
    <mergeCell ref="AE32:AH33"/>
    <mergeCell ref="AI32:AJ33"/>
    <mergeCell ref="AK32:AL33"/>
    <mergeCell ref="AM32:AN33"/>
    <mergeCell ref="BE30:BE31"/>
    <mergeCell ref="BF30:BF31"/>
    <mergeCell ref="BG30:BG31"/>
    <mergeCell ref="BI30:BI31"/>
    <mergeCell ref="BK30:BK31"/>
    <mergeCell ref="BL30:BL31"/>
    <mergeCell ref="AY30:AY31"/>
    <mergeCell ref="B30:B31"/>
    <mergeCell ref="C30:Q31"/>
    <mergeCell ref="R30:T31"/>
    <mergeCell ref="U30:V31"/>
    <mergeCell ref="AA30:AD31"/>
    <mergeCell ref="BA28:BA29"/>
    <mergeCell ref="BB28:BB29"/>
    <mergeCell ref="BC28:BC29"/>
    <mergeCell ref="BD28:BD29"/>
    <mergeCell ref="AK28:AL29"/>
    <mergeCell ref="AM28:AN29"/>
    <mergeCell ref="AO28:AQ29"/>
    <mergeCell ref="AR28:AU29"/>
    <mergeCell ref="AY28:AY29"/>
    <mergeCell ref="AZ28:AZ29"/>
    <mergeCell ref="AK30:AL31"/>
    <mergeCell ref="AM30:AN31"/>
    <mergeCell ref="AO30:AQ31"/>
    <mergeCell ref="AR30:AU31"/>
    <mergeCell ref="AZ30:AZ31"/>
    <mergeCell ref="BA30:BA31"/>
    <mergeCell ref="BB30:BB31"/>
    <mergeCell ref="BC30:BC31"/>
    <mergeCell ref="BD30:BD31"/>
    <mergeCell ref="AE24:AH25"/>
    <mergeCell ref="AI24:AJ25"/>
    <mergeCell ref="BK26:BK27"/>
    <mergeCell ref="BL26:BL27"/>
    <mergeCell ref="BM26:BM27"/>
    <mergeCell ref="B28:B29"/>
    <mergeCell ref="C28:Q29"/>
    <mergeCell ref="R28:T29"/>
    <mergeCell ref="U28:V29"/>
    <mergeCell ref="AA28:AD29"/>
    <mergeCell ref="AE28:AH29"/>
    <mergeCell ref="AI28:AJ29"/>
    <mergeCell ref="BC26:BC27"/>
    <mergeCell ref="BD26:BD27"/>
    <mergeCell ref="BE26:BE27"/>
    <mergeCell ref="BF26:BF27"/>
    <mergeCell ref="BG26:BG27"/>
    <mergeCell ref="BI26:BI27"/>
    <mergeCell ref="AO26:AQ27"/>
    <mergeCell ref="AR26:AU27"/>
    <mergeCell ref="AY26:AY27"/>
    <mergeCell ref="AZ26:AZ27"/>
    <mergeCell ref="BA26:BA27"/>
    <mergeCell ref="BB26:BB27"/>
    <mergeCell ref="BG22:BG23"/>
    <mergeCell ref="BI22:BI23"/>
    <mergeCell ref="BK22:BK23"/>
    <mergeCell ref="BL22:BL23"/>
    <mergeCell ref="BM22:BM23"/>
    <mergeCell ref="BE22:BE23"/>
    <mergeCell ref="BF22:BF23"/>
    <mergeCell ref="BM24:BM25"/>
    <mergeCell ref="B26:B27"/>
    <mergeCell ref="C26:Q27"/>
    <mergeCell ref="R26:T27"/>
    <mergeCell ref="U26:V27"/>
    <mergeCell ref="AA26:AD27"/>
    <mergeCell ref="AE26:AH27"/>
    <mergeCell ref="AI26:AJ27"/>
    <mergeCell ref="AK26:AL27"/>
    <mergeCell ref="AM26:AN27"/>
    <mergeCell ref="BE24:BE25"/>
    <mergeCell ref="BF24:BF25"/>
    <mergeCell ref="BG24:BG25"/>
    <mergeCell ref="BI24:BI25"/>
    <mergeCell ref="BK24:BK25"/>
    <mergeCell ref="BL24:BL25"/>
    <mergeCell ref="AY24:AY25"/>
    <mergeCell ref="B24:B25"/>
    <mergeCell ref="C24:Q25"/>
    <mergeCell ref="R24:T25"/>
    <mergeCell ref="U24:V25"/>
    <mergeCell ref="AA24:AD25"/>
    <mergeCell ref="BA22:BA23"/>
    <mergeCell ref="BB22:BB23"/>
    <mergeCell ref="BC22:BC23"/>
    <mergeCell ref="BD22:BD23"/>
    <mergeCell ref="AK22:AL23"/>
    <mergeCell ref="AM22:AN23"/>
    <mergeCell ref="AO22:AQ23"/>
    <mergeCell ref="AR22:AU23"/>
    <mergeCell ref="AY22:AY23"/>
    <mergeCell ref="AZ22:AZ23"/>
    <mergeCell ref="AK24:AL25"/>
    <mergeCell ref="AM24:AN25"/>
    <mergeCell ref="AO24:AQ25"/>
    <mergeCell ref="AR24:AU25"/>
    <mergeCell ref="AZ24:AZ25"/>
    <mergeCell ref="BA24:BA25"/>
    <mergeCell ref="BB24:BB25"/>
    <mergeCell ref="BC24:BC25"/>
    <mergeCell ref="BD24:BD25"/>
    <mergeCell ref="AE18:AH19"/>
    <mergeCell ref="AI18:AJ19"/>
    <mergeCell ref="BK20:BK21"/>
    <mergeCell ref="BL20:BL21"/>
    <mergeCell ref="BM20:BM21"/>
    <mergeCell ref="B22:B23"/>
    <mergeCell ref="C22:Q23"/>
    <mergeCell ref="R22:T23"/>
    <mergeCell ref="U22:V23"/>
    <mergeCell ref="AA22:AD23"/>
    <mergeCell ref="AE22:AH23"/>
    <mergeCell ref="AI22:AJ23"/>
    <mergeCell ref="BC20:BC21"/>
    <mergeCell ref="BD20:BD21"/>
    <mergeCell ref="BE20:BE21"/>
    <mergeCell ref="BF20:BF21"/>
    <mergeCell ref="BG20:BG21"/>
    <mergeCell ref="BI20:BI21"/>
    <mergeCell ref="AO20:AQ21"/>
    <mergeCell ref="AR20:AU21"/>
    <mergeCell ref="AY20:AY21"/>
    <mergeCell ref="AZ20:AZ21"/>
    <mergeCell ref="BA20:BA21"/>
    <mergeCell ref="BB20:BB21"/>
    <mergeCell ref="BK16:BK17"/>
    <mergeCell ref="BL16:BL17"/>
    <mergeCell ref="BM16:BM17"/>
    <mergeCell ref="AI17:AJ17"/>
    <mergeCell ref="AK17:AL17"/>
    <mergeCell ref="BF16:BG16"/>
    <mergeCell ref="BI16:BI17"/>
    <mergeCell ref="BM18:BM19"/>
    <mergeCell ref="B20:B21"/>
    <mergeCell ref="C20:Q21"/>
    <mergeCell ref="R20:T21"/>
    <mergeCell ref="U20:V21"/>
    <mergeCell ref="AA20:AD21"/>
    <mergeCell ref="AE20:AH21"/>
    <mergeCell ref="AI20:AJ21"/>
    <mergeCell ref="AK20:AL21"/>
    <mergeCell ref="AM20:AN21"/>
    <mergeCell ref="BE18:BE19"/>
    <mergeCell ref="BF18:BF19"/>
    <mergeCell ref="BG18:BG19"/>
    <mergeCell ref="BI18:BI19"/>
    <mergeCell ref="BK18:BK19"/>
    <mergeCell ref="BL18:BL19"/>
    <mergeCell ref="AY18:AY19"/>
    <mergeCell ref="B18:B19"/>
    <mergeCell ref="C18:Q19"/>
    <mergeCell ref="R18:T19"/>
    <mergeCell ref="U18:V19"/>
    <mergeCell ref="AA18:AD19"/>
    <mergeCell ref="BA16:BB16"/>
    <mergeCell ref="BC16:BC17"/>
    <mergeCell ref="BD16:BD17"/>
    <mergeCell ref="BE16:BE17"/>
    <mergeCell ref="AI16:AL16"/>
    <mergeCell ref="AM16:AN17"/>
    <mergeCell ref="AO16:AQ17"/>
    <mergeCell ref="AR16:AU17"/>
    <mergeCell ref="AY16:AY17"/>
    <mergeCell ref="AZ16:AZ17"/>
    <mergeCell ref="AK18:AL19"/>
    <mergeCell ref="AM18:AN19"/>
    <mergeCell ref="AO18:AQ19"/>
    <mergeCell ref="AR18:AU19"/>
    <mergeCell ref="AZ18:AZ19"/>
    <mergeCell ref="BA18:BA19"/>
    <mergeCell ref="BB18:BB19"/>
    <mergeCell ref="BC18:BC19"/>
    <mergeCell ref="BD18:BD19"/>
    <mergeCell ref="C16:Q17"/>
    <mergeCell ref="R16:T17"/>
    <mergeCell ref="U16:V17"/>
    <mergeCell ref="AA16:AD17"/>
    <mergeCell ref="AE16:AH17"/>
    <mergeCell ref="G9:J11"/>
    <mergeCell ref="K9:N11"/>
    <mergeCell ref="AL1:AO3"/>
    <mergeCell ref="AP1:AS3"/>
    <mergeCell ref="R12:U13"/>
    <mergeCell ref="V12:Y13"/>
    <mergeCell ref="Z12:AC13"/>
    <mergeCell ref="AQ5:AU6"/>
    <mergeCell ref="AQ7:AU7"/>
    <mergeCell ref="AQ8:AU8"/>
    <mergeCell ref="O9:R11"/>
    <mergeCell ref="AI13:AQ14"/>
    <mergeCell ref="R14:U14"/>
    <mergeCell ref="V14:Y14"/>
    <mergeCell ref="Z14:AC14"/>
    <mergeCell ref="F1:I3"/>
    <mergeCell ref="J1:M3"/>
    <mergeCell ref="O1:AE3"/>
    <mergeCell ref="AT1:AW3"/>
  </mergeCells>
  <conditionalFormatting sqref="U18:AL37">
    <cfRule type="expression" dxfId="116" priority="5">
      <formula>AND(ISBLANK($C18)=FALSE,OR(ISBLANK(U18)=TRUE,U18=""))</formula>
    </cfRule>
  </conditionalFormatting>
  <conditionalFormatting sqref="AM18:AN37">
    <cfRule type="expression" dxfId="115" priority="2">
      <formula>AM18 &lt;&gt; INDEX(STDREFRIGINC_N, MATCH(C18, STDREFRIGLIST_N,0))</formula>
    </cfRule>
  </conditionalFormatting>
  <conditionalFormatting sqref="AQ8:AW8">
    <cfRule type="expression" dxfId="114" priority="1630">
      <formula>IF($AQ$8=PROJSTATMEASURE,FALSE,TRUE)</formula>
    </cfRule>
  </conditionalFormatting>
  <conditionalFormatting sqref="AR18:AU37">
    <cfRule type="expression" dxfId="113" priority="1846" stopIfTrue="1">
      <formula>ISNUMBER($AR18)=FALSE</formula>
    </cfRule>
    <cfRule type="expression" dxfId="112" priority="1847">
      <formula>$AR18 &lt;&gt; $BH18</formula>
    </cfRule>
  </conditionalFormatting>
  <dataValidations xWindow="271" yWindow="592" count="6">
    <dataValidation allowBlank="1" showInputMessage="1" showErrorMessage="1" prompt="Install Location should describe the area where the equipment installed. (e.g. Room 201, Garage, Mechanical Room)" sqref="AE18:AH37" xr:uid="{19FB9225-86BC-4103-AB63-9D573F958381}"/>
    <dataValidation type="list" allowBlank="1" showInputMessage="1" showErrorMessage="1" prompt="Select Efficient Measure. If you do not see your equipment listed, it may qualify as a Custom Measure." sqref="C18:Q37" xr:uid="{95B4A093-317D-437B-A9B3-136AB5CA15F4}">
      <formula1>STDREFRIGLIST_N</formula1>
    </dataValidation>
    <dataValidation type="decimal" allowBlank="1" showInputMessage="1" showErrorMessage="1" prompt="This is the TOTAL Material Cost of the measure, NOT a per unit basis." sqref="AI18:AJ37" xr:uid="{3030AD77-7E3F-41C3-BCD6-32792DBE9EF1}">
      <formula1>0</formula1>
      <formula2>999999</formula2>
    </dataValidation>
    <dataValidation type="whole" operator="greaterThanOrEqual" allowBlank="1" showInputMessage="1" showErrorMessage="1" errorTitle="Invalid Entry" error="Value must be a whole number greater than zero." prompt="Reference the &quot;Quantity Type&quot; column to ensure you enter the correct value." sqref="U18:V37" xr:uid="{E961F657-CCA6-4149-BC9E-5E5994FA4F23}">
      <formula1>0</formula1>
    </dataValidation>
    <dataValidation type="decimal" allowBlank="1" showInputMessage="1" showErrorMessage="1" prompt="This is the TOTAL Labor Cost of the measure, NOT a per unit basis." sqref="AK18:AL37" xr:uid="{F27DFE4B-E6C1-4326-AA91-7E4AE006CFFA}">
      <formula1>0</formula1>
      <formula2>999999</formula2>
    </dataValidation>
    <dataValidation allowBlank="1" showInputMessage="1" showErrorMessage="1" prompt="Enter the Brand and Model # as it appears in technical documents and invoices." sqref="W18:AD37" xr:uid="{C072739B-1D03-4AF2-ACB8-797559A44C0C}"/>
  </dataValidations>
  <hyperlinks>
    <hyperlink ref="G9:J11" location="'M03-S04'!C18" tooltip="Refrigeration" display="'M03-S04'!C18" xr:uid="{201C9B5F-B090-4830-AE60-13221FAF60EB}"/>
    <hyperlink ref="K9:N11" location="'M03-S05'!C18" tooltip="HVAC" display="'M03-S05'!C18" xr:uid="{74590CC5-4862-4577-BCFB-6A483AB1EA78}"/>
    <hyperlink ref="O9:R11" location="'M03-S08'!C18" tooltip="Motors and Drives" display="'M03-S08'!C18" xr:uid="{72E88267-DD75-4B87-9927-79C2C6DDB341}"/>
    <hyperlink ref="B202" r:id="rId1" display="businessrebates@evergy.com" xr:uid="{864C4C37-96B6-43B4-94D6-DE16A99389BF}"/>
  </hyperlinks>
  <printOptions horizontalCentered="1"/>
  <pageMargins left="0" right="0" top="0" bottom="0" header="0" footer="0"/>
  <pageSetup scale="4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D34F0-0280-4179-98C4-D716E61A08D1}">
  <sheetPr codeName="Sheet91">
    <tabColor theme="9" tint="0.59999389629810485"/>
    <pageSetUpPr fitToPage="1"/>
  </sheetPr>
  <dimension ref="A1:CA204"/>
  <sheetViews>
    <sheetView showGridLines="0" showRowColHeaders="0" zoomScale="85" zoomScaleNormal="85" workbookViewId="0">
      <selection activeCell="C18" sqref="C18:Q19"/>
    </sheetView>
  </sheetViews>
  <sheetFormatPr defaultColWidth="0" defaultRowHeight="0" customHeight="1" zeroHeight="1"/>
  <cols>
    <col min="1" max="49" width="4.7109375" customWidth="1"/>
    <col min="50" max="50" width="4.7109375" hidden="1"/>
    <col min="51" max="56" width="10" hidden="1"/>
    <col min="57" max="57" width="14.7109375" hidden="1"/>
    <col min="58" max="65" width="10" hidden="1"/>
    <col min="66" max="67" width="13.7109375" hidden="1"/>
    <col min="68" max="68" width="9.28515625" hidden="1"/>
    <col min="69" max="79" width="8.85546875" hidden="1"/>
    <col min="80" max="16384" width="4.7109375" hidden="1"/>
  </cols>
  <sheetData>
    <row r="1" spans="1:68"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68"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68"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68" ht="15.95" customHeight="1">
      <c r="B4" s="199"/>
      <c r="C4" s="199"/>
      <c r="D4" s="199"/>
      <c r="E4" s="199"/>
    </row>
    <row r="5" spans="1:68" ht="15.95" customHeight="1">
      <c r="A5" s="667">
        <f>INCENTOTAL_N</f>
        <v>0</v>
      </c>
      <c r="B5" s="667"/>
      <c r="C5" s="667"/>
      <c r="D5" s="667"/>
      <c r="E5" s="667"/>
      <c r="AQ5" s="668">
        <f ca="1">PROGRESSSTATUS_N</f>
        <v>0</v>
      </c>
      <c r="AR5" s="668"/>
      <c r="AS5" s="668"/>
      <c r="AT5" s="668"/>
      <c r="AU5" s="668"/>
      <c r="AV5" s="557"/>
      <c r="AW5" s="557"/>
      <c r="AY5" s="21"/>
      <c r="AZ5" s="110" t="s">
        <v>844</v>
      </c>
      <c r="BA5" s="110" t="s">
        <v>198</v>
      </c>
    </row>
    <row r="6" spans="1:68" ht="15.95" customHeight="1">
      <c r="A6" s="667"/>
      <c r="B6" s="667"/>
      <c r="C6" s="667"/>
      <c r="D6" s="667"/>
      <c r="E6" s="667"/>
      <c r="AQ6" s="668"/>
      <c r="AR6" s="668"/>
      <c r="AS6" s="668"/>
      <c r="AT6" s="668"/>
      <c r="AU6" s="668"/>
      <c r="AV6" s="557"/>
      <c r="AW6" s="557"/>
      <c r="AY6" s="109" t="s">
        <v>26</v>
      </c>
      <c r="AZ6" s="108" t="str">
        <f>CBLIGHT_N</f>
        <v>NA</v>
      </c>
      <c r="BA6" s="176" t="str">
        <f>PAYLIGHT_N</f>
        <v>NA</v>
      </c>
    </row>
    <row r="7" spans="1:68" ht="15.95" customHeight="1">
      <c r="A7" s="665" t="s">
        <v>20</v>
      </c>
      <c r="B7" s="665"/>
      <c r="C7" s="665"/>
      <c r="D7" s="665"/>
      <c r="E7" s="665"/>
      <c r="AQ7" s="665" t="s">
        <v>179</v>
      </c>
      <c r="AR7" s="665"/>
      <c r="AS7" s="665"/>
      <c r="AT7" s="665"/>
      <c r="AU7" s="665"/>
      <c r="AV7" s="556"/>
      <c r="AW7" s="556"/>
      <c r="AY7" s="109" t="s">
        <v>50</v>
      </c>
      <c r="AZ7" s="108" t="str">
        <f>CBCUST_N</f>
        <v>NA</v>
      </c>
      <c r="BA7" s="176" t="str">
        <f>PAYCUST_N</f>
        <v>NA</v>
      </c>
    </row>
    <row r="8" spans="1:68" ht="15.95" customHeight="1" thickBot="1">
      <c r="A8" s="665"/>
      <c r="B8" s="665"/>
      <c r="C8" s="665"/>
      <c r="D8" s="665"/>
      <c r="E8" s="665"/>
      <c r="AQ8" s="674" t="str">
        <f ca="1">PROJSTATUS_N</f>
        <v>Enter Measures</v>
      </c>
      <c r="AR8" s="674"/>
      <c r="AS8" s="674"/>
      <c r="AT8" s="674"/>
      <c r="AU8" s="674"/>
      <c r="AV8" s="558"/>
      <c r="AW8" s="558"/>
      <c r="AY8" s="109" t="s">
        <v>273</v>
      </c>
      <c r="AZ8" s="108" t="str">
        <f>CBPROJ_N</f>
        <v>NA</v>
      </c>
      <c r="BA8" s="176" t="str">
        <f>PAYPROJ_N</f>
        <v>NA</v>
      </c>
    </row>
    <row r="9" spans="1:68" s="79" customFormat="1" ht="15.95" customHeight="1">
      <c r="B9" s="101"/>
      <c r="C9" s="101"/>
      <c r="D9" s="101"/>
      <c r="E9" s="102"/>
      <c r="F9" s="102"/>
      <c r="G9" s="930" t="str">
        <f>N3S4</f>
        <v>HVAC</v>
      </c>
      <c r="H9" s="931"/>
      <c r="I9" s="931"/>
      <c r="J9" s="931"/>
      <c r="K9" s="925" t="str">
        <f>N3S6</f>
        <v>Water Heating / Food Services</v>
      </c>
      <c r="L9" s="925"/>
      <c r="M9" s="925"/>
      <c r="N9" s="925"/>
      <c r="O9" s="927" t="str">
        <f>N3S5</f>
        <v>Refrigeration</v>
      </c>
      <c r="P9" s="928"/>
      <c r="Q9" s="928"/>
      <c r="R9" s="928"/>
      <c r="S9" s="101"/>
      <c r="T9" s="101"/>
      <c r="U9" s="101"/>
      <c r="V9" s="101"/>
      <c r="W9" s="101"/>
      <c r="X9" s="101"/>
      <c r="Y9" s="101"/>
      <c r="Z9" s="101"/>
      <c r="AA9" s="101"/>
      <c r="AB9" s="101"/>
      <c r="AC9" s="101"/>
      <c r="AD9" s="101"/>
      <c r="AE9" s="101"/>
      <c r="AF9" s="101"/>
      <c r="AG9" s="101"/>
      <c r="AH9" s="101"/>
      <c r="AI9" s="101"/>
      <c r="AJ9" s="101"/>
      <c r="AK9" s="101"/>
      <c r="AL9" s="101"/>
      <c r="AM9" s="101"/>
      <c r="AN9" s="101"/>
      <c r="AO9" s="103"/>
      <c r="AP9" s="103"/>
      <c r="AQ9" s="101"/>
      <c r="AR9" s="101"/>
      <c r="AT9" s="101"/>
      <c r="AU9" s="101"/>
      <c r="AV9" s="101"/>
      <c r="AW9" s="101"/>
      <c r="AX9"/>
      <c r="AY9" s="107" t="s">
        <v>828</v>
      </c>
      <c r="AZ9" s="399" t="str">
        <f ca="1">NEWCONCODE</f>
        <v>IECC 2012</v>
      </c>
      <c r="BA9"/>
    </row>
    <row r="10" spans="1:68" s="79" customFormat="1" ht="15.95" customHeight="1">
      <c r="B10" s="80"/>
      <c r="C10" s="80"/>
      <c r="D10" s="80"/>
      <c r="G10" s="932"/>
      <c r="H10" s="932"/>
      <c r="I10" s="932"/>
      <c r="J10" s="932"/>
      <c r="K10" s="926"/>
      <c r="L10" s="926"/>
      <c r="M10" s="926"/>
      <c r="N10" s="926"/>
      <c r="O10" s="929"/>
      <c r="P10" s="929"/>
      <c r="Q10" s="929"/>
      <c r="R10" s="929"/>
      <c r="AC10"/>
      <c r="AD10"/>
      <c r="AE10"/>
      <c r="AF10"/>
      <c r="AG10"/>
      <c r="AH10"/>
      <c r="AI10"/>
      <c r="AJ10"/>
      <c r="AK10"/>
      <c r="AL10"/>
      <c r="AM10"/>
      <c r="AN10" s="80"/>
      <c r="AO10"/>
      <c r="AP10"/>
      <c r="AQ10" s="80"/>
      <c r="AR10" s="80"/>
      <c r="AX10"/>
    </row>
    <row r="11" spans="1:68" ht="15.95" customHeight="1">
      <c r="B11" s="97"/>
      <c r="C11" s="97"/>
      <c r="D11" s="97"/>
      <c r="G11" s="932"/>
      <c r="H11" s="932"/>
      <c r="I11" s="932"/>
      <c r="J11" s="932"/>
      <c r="K11" s="926"/>
      <c r="L11" s="926"/>
      <c r="M11" s="926"/>
      <c r="N11" s="926"/>
      <c r="O11" s="929"/>
      <c r="P11" s="929"/>
      <c r="Q11" s="929"/>
      <c r="R11" s="929"/>
      <c r="AN11" s="97"/>
      <c r="AQ11" s="97"/>
      <c r="AR11" s="97"/>
    </row>
    <row r="12" spans="1:68" ht="15.95" customHeight="1">
      <c r="A12" s="77"/>
      <c r="B12" s="77"/>
      <c r="C12" s="77"/>
      <c r="D12" s="77"/>
      <c r="E12" s="77"/>
      <c r="R12" s="789">
        <f>SUM(AR18:AU199)</f>
        <v>0</v>
      </c>
      <c r="S12" s="789"/>
      <c r="T12" s="789"/>
      <c r="U12" s="789"/>
      <c r="V12" s="789">
        <f>SUM(AY18:AY199)</f>
        <v>0</v>
      </c>
      <c r="W12" s="789"/>
      <c r="X12" s="789"/>
      <c r="Y12" s="789"/>
      <c r="Z12" s="790">
        <f>SUM(AO18:AQ199)</f>
        <v>0</v>
      </c>
      <c r="AA12" s="790"/>
      <c r="AB12" s="790"/>
      <c r="AC12" s="790"/>
    </row>
    <row r="13" spans="1:68" ht="15.95" customHeight="1">
      <c r="A13" s="561"/>
      <c r="B13" s="77"/>
      <c r="R13" s="789"/>
      <c r="S13" s="789"/>
      <c r="T13" s="789"/>
      <c r="U13" s="789"/>
      <c r="V13" s="789"/>
      <c r="W13" s="789"/>
      <c r="X13" s="789"/>
      <c r="Y13" s="789"/>
      <c r="Z13" s="790"/>
      <c r="AA13" s="790"/>
      <c r="AB13" s="790"/>
      <c r="AC13" s="790"/>
      <c r="AI13" s="786" t="str">
        <f>IF(IFERROR(MATCH("100% Total Cost", BJ:BJ, 0), FALSE), "The incentive for one or more measures is capped due to measure cost.", "")</f>
        <v/>
      </c>
      <c r="AJ13" s="786"/>
      <c r="AK13" s="786"/>
      <c r="AL13" s="786"/>
      <c r="AM13" s="786"/>
      <c r="AN13" s="786"/>
      <c r="AO13" s="786"/>
      <c r="AP13" s="786"/>
      <c r="AQ13" s="786"/>
    </row>
    <row r="14" spans="1:68" ht="15.95" customHeight="1">
      <c r="R14" s="793" t="s">
        <v>1204</v>
      </c>
      <c r="S14" s="793"/>
      <c r="T14" s="793"/>
      <c r="U14" s="793"/>
      <c r="V14" s="793" t="s">
        <v>4</v>
      </c>
      <c r="W14" s="793"/>
      <c r="X14" s="793"/>
      <c r="Y14" s="793"/>
      <c r="Z14" s="793" t="s">
        <v>776</v>
      </c>
      <c r="AA14" s="793"/>
      <c r="AB14" s="793"/>
      <c r="AC14" s="793"/>
      <c r="AI14" s="786"/>
      <c r="AJ14" s="786"/>
      <c r="AK14" s="786"/>
      <c r="AL14" s="786"/>
      <c r="AM14" s="786"/>
      <c r="AN14" s="786"/>
      <c r="AO14" s="786"/>
      <c r="AP14" s="786"/>
      <c r="AQ14" s="786"/>
    </row>
    <row r="15" spans="1:68" ht="15.95" customHeight="1"/>
    <row r="16" spans="1:68" ht="15.95" customHeight="1">
      <c r="C16" s="794" t="s">
        <v>816</v>
      </c>
      <c r="D16" s="794"/>
      <c r="E16" s="794"/>
      <c r="F16" s="794"/>
      <c r="G16" s="794"/>
      <c r="H16" s="794"/>
      <c r="I16" s="794"/>
      <c r="J16" s="794"/>
      <c r="K16" s="794"/>
      <c r="L16" s="794"/>
      <c r="M16" s="794"/>
      <c r="N16" s="794"/>
      <c r="O16" s="794"/>
      <c r="P16" s="794"/>
      <c r="Q16" s="794"/>
      <c r="R16" s="794" t="s">
        <v>825</v>
      </c>
      <c r="S16" s="794"/>
      <c r="T16" s="794"/>
      <c r="U16" s="794" t="s">
        <v>11</v>
      </c>
      <c r="V16" s="794"/>
      <c r="W16" s="794" t="s">
        <v>2211</v>
      </c>
      <c r="X16" s="794"/>
      <c r="Y16" s="794"/>
      <c r="Z16" s="794"/>
      <c r="AA16" s="794" t="s">
        <v>2212</v>
      </c>
      <c r="AB16" s="794"/>
      <c r="AC16" s="794"/>
      <c r="AD16" s="794"/>
      <c r="AE16" s="794" t="s">
        <v>815</v>
      </c>
      <c r="AF16" s="794"/>
      <c r="AG16" s="794"/>
      <c r="AH16" s="794"/>
      <c r="AI16" s="921" t="s">
        <v>814</v>
      </c>
      <c r="AJ16" s="921"/>
      <c r="AK16" s="921"/>
      <c r="AL16" s="921"/>
      <c r="AM16" s="794" t="s">
        <v>1205</v>
      </c>
      <c r="AN16" s="794"/>
      <c r="AO16" s="794" t="s">
        <v>725</v>
      </c>
      <c r="AP16" s="794"/>
      <c r="AQ16" s="794"/>
      <c r="AR16" s="794" t="s">
        <v>20</v>
      </c>
      <c r="AS16" s="794"/>
      <c r="AT16" s="794"/>
      <c r="AU16" s="794"/>
      <c r="AY16" s="791" t="s">
        <v>823</v>
      </c>
      <c r="AZ16" s="791" t="s">
        <v>733</v>
      </c>
      <c r="BA16" s="958" t="s">
        <v>819</v>
      </c>
      <c r="BB16" s="958"/>
      <c r="BC16" s="791" t="s">
        <v>821</v>
      </c>
      <c r="BD16" s="791" t="s">
        <v>822</v>
      </c>
      <c r="BE16" s="791" t="s">
        <v>836</v>
      </c>
      <c r="BF16" s="958" t="s">
        <v>820</v>
      </c>
      <c r="BG16" s="958"/>
      <c r="BH16" s="791" t="s">
        <v>2107</v>
      </c>
      <c r="BI16" s="791" t="s">
        <v>22</v>
      </c>
      <c r="BJ16" s="791" t="s">
        <v>837</v>
      </c>
      <c r="BK16" s="791" t="s">
        <v>185</v>
      </c>
      <c r="BL16" s="798" t="s">
        <v>25</v>
      </c>
      <c r="BM16" s="798" t="s">
        <v>1324</v>
      </c>
      <c r="BN16" s="798" t="s">
        <v>1365</v>
      </c>
      <c r="BO16" s="798" t="s">
        <v>832</v>
      </c>
      <c r="BP16" s="798" t="s">
        <v>1903</v>
      </c>
    </row>
    <row r="17" spans="1:68" ht="15.95" customHeight="1" thickBot="1">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t="s">
        <v>812</v>
      </c>
      <c r="AJ17" s="795"/>
      <c r="AK17" s="795" t="s">
        <v>813</v>
      </c>
      <c r="AL17" s="795"/>
      <c r="AM17" s="795"/>
      <c r="AN17" s="795"/>
      <c r="AO17" s="795"/>
      <c r="AP17" s="795"/>
      <c r="AQ17" s="795"/>
      <c r="AR17" s="795"/>
      <c r="AS17" s="795"/>
      <c r="AT17" s="795"/>
      <c r="AU17" s="795"/>
      <c r="AY17" s="792"/>
      <c r="AZ17" s="792"/>
      <c r="BA17" s="98" t="s">
        <v>817</v>
      </c>
      <c r="BB17" s="98" t="s">
        <v>818</v>
      </c>
      <c r="BC17" s="792"/>
      <c r="BD17" s="792" t="s">
        <v>822</v>
      </c>
      <c r="BE17" s="792"/>
      <c r="BF17" s="98" t="s">
        <v>817</v>
      </c>
      <c r="BG17" s="98" t="s">
        <v>1011</v>
      </c>
      <c r="BH17" s="792"/>
      <c r="BI17" s="792"/>
      <c r="BJ17" s="792"/>
      <c r="BK17" s="792"/>
      <c r="BL17" s="799"/>
      <c r="BM17" s="799"/>
      <c r="BN17" s="799"/>
      <c r="BO17" s="799"/>
      <c r="BP17" s="799"/>
    </row>
    <row r="18" spans="1:68" ht="15.95" customHeight="1">
      <c r="B18" s="800">
        <v>1</v>
      </c>
      <c r="C18" s="1017"/>
      <c r="D18" s="1017"/>
      <c r="E18" s="1017"/>
      <c r="F18" s="1017"/>
      <c r="G18" s="1017"/>
      <c r="H18" s="1017"/>
      <c r="I18" s="1017"/>
      <c r="J18" s="1017"/>
      <c r="K18" s="1017"/>
      <c r="L18" s="1017"/>
      <c r="M18" s="1017"/>
      <c r="N18" s="1017"/>
      <c r="O18" s="1017"/>
      <c r="P18" s="1017"/>
      <c r="Q18" s="1017"/>
      <c r="R18" s="1019" t="str">
        <f>IF(C18="","",INDEX(STDWATER_N[Current Unit],MATCH(C18,STDWATER_N[Measure Name],0)))</f>
        <v/>
      </c>
      <c r="S18" s="1019"/>
      <c r="T18" s="1019"/>
      <c r="U18" s="1021"/>
      <c r="V18" s="1021"/>
      <c r="W18" s="1017"/>
      <c r="X18" s="1017"/>
      <c r="Y18" s="1017"/>
      <c r="Z18" s="1017"/>
      <c r="AA18" s="1017"/>
      <c r="AB18" s="1017"/>
      <c r="AC18" s="1017"/>
      <c r="AD18" s="1017"/>
      <c r="AE18" s="1017"/>
      <c r="AF18" s="1017"/>
      <c r="AG18" s="1017"/>
      <c r="AH18" s="936"/>
      <c r="AI18" s="1054"/>
      <c r="AJ18" s="1047"/>
      <c r="AK18" s="1047"/>
      <c r="AL18" s="1048"/>
      <c r="AM18" s="1049" t="str">
        <f>IFERROR(IF(C18="","",INDEX(IF(AND(ACTIVEBONUS_N = TRUE,INDEX(STDWATER_N[Bonus Incentive],MATCH(C18,STDWATER_N[Measure Name],0))&lt;&gt; ""),STDWATER_N[Bonus Incentive],STDWATER_N[Base Incentive]),MATCH(C18,STDWATER_N[Measure Name],0))),"")</f>
        <v/>
      </c>
      <c r="AN18" s="1050"/>
      <c r="AO18" s="1053" t="str">
        <f>IFERROR(IF(OR(C18="",U18="",R18="",AA18="",AE18="",AI18="",AK18=""),"",BA18),"")</f>
        <v/>
      </c>
      <c r="AP18" s="1053"/>
      <c r="AQ18" s="1053"/>
      <c r="AR18" s="998" t="str">
        <f>IFERROR(IF(OR(C18="",U18="",R18="",AA18="",AE18="",AI18="",AK18=""),"",IF(BK18&lt;&gt;"",BK18,IF(BP18&gt;0,BP18,ROUND(IF(AO18&lt;=0,0,MIN(AY18,BH18)),2)))),"")</f>
        <v/>
      </c>
      <c r="AS18" s="1045"/>
      <c r="AT18" s="1045"/>
      <c r="AU18" s="999"/>
      <c r="AV18" s="21"/>
      <c r="AY18" s="1061" t="str">
        <f>IF(OR(C18="",U18="",R18="",AA18="",AE18="",AI18="",AK18=""),"",IF(AO18=0,"",ROUND(AI18+AK18,2)))</f>
        <v/>
      </c>
      <c r="AZ18" s="1024" t="str">
        <f>IFERROR(IF(OR(C18="",U18="",R18="",AA18="",AE18="",AI18="",AK18=""),"",INDEX(STDWATER_N[Current Unit],MATCH(C18,STDWATER_N[Measure Name],0))),"Err")</f>
        <v/>
      </c>
      <c r="BA18" s="975" t="str">
        <f>IF(OR(C18="",U18="",R18="",AA18="",AE18="",AI18="",AK18=""),"",ROUND(U18*INDEX(STDWATER_N[Electric Energy Savings (Annual kWh/unit)],MATCH(C18,STDWATER_N[Measure Name],0)),0))</f>
        <v/>
      </c>
      <c r="BB18" s="975" t="str">
        <f>IF(OR(C18="",U18="",R18="",AA18="",AE18="",AI18="",AK18=""),"",ROUND(U18*INDEX(STDWATER_N[Coincident Peak Demand Savings (kW/unit)],MATCH(C18,STDWATER_N[Measure Name],0)),4))</f>
        <v/>
      </c>
      <c r="BC18" s="1028"/>
      <c r="BD18" s="1028"/>
      <c r="BE18" s="1024" t="str">
        <f>IFERROR(IF(OR(C18="",U18="",R18="",AA18="",AE18="",AI18="",AK18=""),"",INDEX(STDWATER_N[End Use],MATCH(C18,STDWATER_N[Measure Name],0))),"Err")</f>
        <v/>
      </c>
      <c r="BF18" s="1028"/>
      <c r="BG18" s="1028"/>
      <c r="BH18" s="1044" t="str">
        <f>IFERROR(ROUND(U18*AM18, 2), "")</f>
        <v/>
      </c>
      <c r="BI18" s="1024" t="str">
        <f>IFERROR(IF(OR(C18="",U18="",R18="",AA18="",AE18="",AI18="",AK18="",ISNUMBER(AR18)=FALSE,AR18=0),"",INDEX(STDWATER_N[Measure Number],MATCH(C18,STDWATER_N[Measure Name],0))),"Err")</f>
        <v/>
      </c>
      <c r="BJ18" s="996" t="str">
        <f>IFERROR(IF(BP18="",IF(AR18 &lt; BH18, "100% Total Cost", ""), ""), "")</f>
        <v/>
      </c>
      <c r="BK18" s="1024" t="str">
        <f>IFERROR(IF(OR(C18="",U18="",AA18="",AE18="",AI18="",AK18=""),"",
IF(EXPIRATION&lt;&gt;"",PROJSTATEXP,"")),"")</f>
        <v/>
      </c>
      <c r="BL18" s="1059" t="str">
        <f>IFERROR(INDEX(STDWATER_N[Measure Life (Years)],MATCH(C18,STDWATER_N[Measure Name],0)),"")</f>
        <v/>
      </c>
      <c r="BM18" s="787" t="str">
        <f>IFERROR(IF(OR(C18="",U18="",R18="",AA18="",AE18="",AI18="",AK18=""),"",
ROUND(((1+ELOSS)*((BA18*INDEX(ELECCB[NPV AEC $/kWh],MATCH(BL18,ELECCB[Year Number],1)))+(BB18*INDEX(ELECCB[NPV ACC $/kW],MATCH(BL18,ELECCB[Year Number],1))))),2)),0)</f>
        <v/>
      </c>
      <c r="BN18" s="849" t="str">
        <f>IFERROR(IF(BI18="","",INDEX(STDWATER_N[Reporting Methodology],MATCH(C18,STDWATER_N[Measure Name],0))),"Err")</f>
        <v/>
      </c>
      <c r="BO18" s="1063" t="str">
        <f>IFERROR(IF(OR(C18="",U18="",R18="",AA18="",AE18="",AI18="",AK18=""),"",U18*INDEX(STDWATER_N[Incremental Measure Cost ($/Unit)],MATCH(C18,STDWATER_N[Measure Name],0))),"Err")</f>
        <v/>
      </c>
      <c r="BP18" s="787"/>
    </row>
    <row r="19" spans="1:68" ht="15.95" customHeight="1">
      <c r="B19" s="800"/>
      <c r="C19" s="1018"/>
      <c r="D19" s="1018"/>
      <c r="E19" s="1018"/>
      <c r="F19" s="1018"/>
      <c r="G19" s="1018"/>
      <c r="H19" s="1018"/>
      <c r="I19" s="1018"/>
      <c r="J19" s="1018"/>
      <c r="K19" s="1018"/>
      <c r="L19" s="1018"/>
      <c r="M19" s="1018"/>
      <c r="N19" s="1018"/>
      <c r="O19" s="1018"/>
      <c r="P19" s="1018"/>
      <c r="Q19" s="1018"/>
      <c r="R19" s="1020"/>
      <c r="S19" s="1020"/>
      <c r="T19" s="1020"/>
      <c r="U19" s="1022"/>
      <c r="V19" s="1022"/>
      <c r="W19" s="1018"/>
      <c r="X19" s="1018"/>
      <c r="Y19" s="1018"/>
      <c r="Z19" s="1018"/>
      <c r="AA19" s="1018"/>
      <c r="AB19" s="1018"/>
      <c r="AC19" s="1018"/>
      <c r="AD19" s="1018"/>
      <c r="AE19" s="1018"/>
      <c r="AF19" s="1018"/>
      <c r="AG19" s="1018"/>
      <c r="AH19" s="1029"/>
      <c r="AI19" s="1030"/>
      <c r="AJ19" s="980"/>
      <c r="AK19" s="980"/>
      <c r="AL19" s="982"/>
      <c r="AM19" s="1051"/>
      <c r="AN19" s="1052"/>
      <c r="AO19" s="988"/>
      <c r="AP19" s="988"/>
      <c r="AQ19" s="988"/>
      <c r="AR19" s="991"/>
      <c r="AS19" s="1046"/>
      <c r="AT19" s="1046"/>
      <c r="AU19" s="992"/>
      <c r="AV19" s="21"/>
      <c r="AY19" s="1062"/>
      <c r="AZ19" s="1025"/>
      <c r="BA19" s="976"/>
      <c r="BB19" s="976"/>
      <c r="BC19" s="962"/>
      <c r="BD19" s="962"/>
      <c r="BE19" s="1025"/>
      <c r="BF19" s="962"/>
      <c r="BG19" s="962"/>
      <c r="BH19" s="1043"/>
      <c r="BI19" s="1025"/>
      <c r="BJ19" s="997"/>
      <c r="BK19" s="1025"/>
      <c r="BL19" s="1060"/>
      <c r="BM19" s="788"/>
      <c r="BN19" s="850"/>
      <c r="BO19" s="1064"/>
      <c r="BP19" s="788"/>
    </row>
    <row r="20" spans="1:68" ht="15.95" customHeight="1">
      <c r="A20" s="76"/>
      <c r="B20" s="800">
        <v>2</v>
      </c>
      <c r="C20" s="1018"/>
      <c r="D20" s="1018"/>
      <c r="E20" s="1018"/>
      <c r="F20" s="1018"/>
      <c r="G20" s="1018"/>
      <c r="H20" s="1018"/>
      <c r="I20" s="1018"/>
      <c r="J20" s="1018"/>
      <c r="K20" s="1018"/>
      <c r="L20" s="1018"/>
      <c r="M20" s="1018"/>
      <c r="N20" s="1018"/>
      <c r="O20" s="1018"/>
      <c r="P20" s="1018"/>
      <c r="Q20" s="1018"/>
      <c r="R20" s="1020" t="str">
        <f>IF(C20="","",INDEX(STDWATER_N[Current Unit],MATCH(C20,STDWATER_N[Measure Name],0)))</f>
        <v/>
      </c>
      <c r="S20" s="1020"/>
      <c r="T20" s="1020"/>
      <c r="U20" s="1022"/>
      <c r="V20" s="1022"/>
      <c r="W20" s="1018"/>
      <c r="X20" s="1018"/>
      <c r="Y20" s="1018"/>
      <c r="Z20" s="1018"/>
      <c r="AA20" s="1018"/>
      <c r="AB20" s="1018"/>
      <c r="AC20" s="1018"/>
      <c r="AD20" s="1018"/>
      <c r="AE20" s="1018"/>
      <c r="AF20" s="1018"/>
      <c r="AG20" s="1018"/>
      <c r="AH20" s="1029"/>
      <c r="AI20" s="1030"/>
      <c r="AJ20" s="980"/>
      <c r="AK20" s="980"/>
      <c r="AL20" s="982"/>
      <c r="AM20" s="1055" t="str">
        <f>IFERROR(IF(C20="","",INDEX(IF(AND(ACTIVEBONUS_N = TRUE,INDEX(STDWATER_N[Bonus Incentive],MATCH(C20,STDWATER_N[Measure Name],0))&lt;&gt; ""),STDWATER_N[Bonus Incentive],STDWATER_N[Base Incentive]),MATCH(C20,STDWATER_N[Measure Name],0))),"")</f>
        <v/>
      </c>
      <c r="AN20" s="1056"/>
      <c r="AO20" s="988" t="str">
        <f>IFERROR(IF(OR(C20="",U20="",R20="",AA20="",AE20="",AI20="",AK20=""),"",BA20),"")</f>
        <v/>
      </c>
      <c r="AP20" s="988"/>
      <c r="AQ20" s="988"/>
      <c r="AR20" s="998" t="str">
        <f>IFERROR(IF(OR(C20="",U20="",R20="",AA20="",AE20="",AI20="",AK20=""),"",IF(BK20&lt;&gt;"",BK20,IF(BP20&gt;0,BP20,ROUND(IF(AO20&lt;=0,0,MIN(AY20,BH20)),2)))),"")</f>
        <v/>
      </c>
      <c r="AS20" s="1045"/>
      <c r="AT20" s="1045"/>
      <c r="AU20" s="999"/>
      <c r="AV20" s="21"/>
      <c r="AY20" s="1061" t="str">
        <f>IF(OR(C20="",U20="",R20="",AA20="",AE20="",AI20="",AK20=""),"",IF(AO20=0,"",ROUND(AI20+AK20,2)))</f>
        <v/>
      </c>
      <c r="AZ20" s="1024" t="str">
        <f>IFERROR(IF(OR(C20="",U20="",R20="",AA20="",AE20="",AI20="",AK20=""),"",INDEX(STDWATER_N[Current Unit],MATCH(C20,STDWATER_N[Measure Name],0))),"Err")</f>
        <v/>
      </c>
      <c r="BA20" s="975" t="str">
        <f>IF(OR(C20="",U20="",R20="",AA20="",AE20="",AI20="",AK20=""),"",ROUND(U20*INDEX(STDWATER_N[Electric Energy Savings (Annual kWh/unit)],MATCH(C20,STDWATER_N[Measure Name],0)),0))</f>
        <v/>
      </c>
      <c r="BB20" s="975" t="str">
        <f>IF(OR(C20="",U20="",R20="",AA20="",AE20="",AI20="",AK20=""),"",ROUND(U20*INDEX(STDWATER_N[Coincident Peak Demand Savings (kW/unit)],MATCH(C20,STDWATER_N[Measure Name],0)),4))</f>
        <v/>
      </c>
      <c r="BC20" s="962"/>
      <c r="BD20" s="962"/>
      <c r="BE20" s="1024" t="str">
        <f>IFERROR(IF(OR(C20="",U20="",R20="",AA20="",AE20="",AI20="",AK20=""),"",INDEX(STDWATER_N[End Use],MATCH(C20,STDWATER_N[Measure Name],0))),"Err")</f>
        <v/>
      </c>
      <c r="BF20" s="962"/>
      <c r="BG20" s="962"/>
      <c r="BH20" s="1042" t="str">
        <f>IFERROR(ROUND(U20*AM20, 2), "")</f>
        <v/>
      </c>
      <c r="BI20" s="1024" t="str">
        <f>IFERROR(IF(OR(C20="",U20="",R20="",AA20="",AE20="",AI20="",AK20="",ISNUMBER(AR20)=FALSE,AR20=0),"",INDEX(STDWATER_N[Measure Number],MATCH(C20,STDWATER_N[Measure Name],0))),"Err")</f>
        <v/>
      </c>
      <c r="BJ20" s="1037" t="str">
        <f>IFERROR(IF(BP20="",IF(AR20 &lt; BH20, "100% Total Cost", ""), ""), "")</f>
        <v/>
      </c>
      <c r="BK20" s="1037" t="str">
        <f>IFERROR(IF(OR(C20="",U20="",AA20="",AE20="",AI20="",AK20=""),"",
IF(EXPIRATION&lt;&gt;"",PROJSTATEXP,"")),"")</f>
        <v/>
      </c>
      <c r="BL20" s="1059" t="str">
        <f>IFERROR(INDEX(STDWATER_N[Measure Life (Years)],MATCH(C20,STDWATER_N[Measure Name],0)),"")</f>
        <v/>
      </c>
      <c r="BM20" s="787" t="str">
        <f>IFERROR(IF(OR(C20="",U20="",R20="",AA20="",AE20="",AI20="",AK20=""),"",
ROUND(((1+ELOSS)*((BA20*INDEX(ELECCB[NPV AEC $/kWh],MATCH(BL20,ELECCB[Year Number],1)))+(BB20*INDEX(ELECCB[NPV ACC $/kW],MATCH(BL20,ELECCB[Year Number],1))))),2)),0)</f>
        <v/>
      </c>
      <c r="BN20" s="1014" t="str">
        <f>IFERROR(IF(BI20="","",INDEX(STDWATER_N[Reporting Methodology],MATCH(C20,STDWATER_N[Measure Name],0))),"Err")</f>
        <v/>
      </c>
      <c r="BO20" s="1063" t="str">
        <f>IFERROR(IF(OR(C20="",U20="",R20="",AA20="",AE20="",AI20="",AK20=""),"",U20*INDEX(STDWATER_N[Incremental Measure Cost ($/Unit)],MATCH(C20,STDWATER_N[Measure Name],0))),"Err")</f>
        <v/>
      </c>
      <c r="BP20" s="787"/>
    </row>
    <row r="21" spans="1:68" ht="15.95" customHeight="1">
      <c r="B21" s="800"/>
      <c r="C21" s="1018"/>
      <c r="D21" s="1018"/>
      <c r="E21" s="1018"/>
      <c r="F21" s="1018"/>
      <c r="G21" s="1018"/>
      <c r="H21" s="1018"/>
      <c r="I21" s="1018"/>
      <c r="J21" s="1018"/>
      <c r="K21" s="1018"/>
      <c r="L21" s="1018"/>
      <c r="M21" s="1018"/>
      <c r="N21" s="1018"/>
      <c r="O21" s="1018"/>
      <c r="P21" s="1018"/>
      <c r="Q21" s="1018"/>
      <c r="R21" s="1020"/>
      <c r="S21" s="1020"/>
      <c r="T21" s="1020"/>
      <c r="U21" s="1022"/>
      <c r="V21" s="1022"/>
      <c r="W21" s="1018"/>
      <c r="X21" s="1018"/>
      <c r="Y21" s="1018"/>
      <c r="Z21" s="1018"/>
      <c r="AA21" s="1018"/>
      <c r="AB21" s="1018"/>
      <c r="AC21" s="1018"/>
      <c r="AD21" s="1018"/>
      <c r="AE21" s="1018"/>
      <c r="AF21" s="1018"/>
      <c r="AG21" s="1018"/>
      <c r="AH21" s="1029"/>
      <c r="AI21" s="1030"/>
      <c r="AJ21" s="980"/>
      <c r="AK21" s="980"/>
      <c r="AL21" s="982"/>
      <c r="AM21" s="1057"/>
      <c r="AN21" s="1058"/>
      <c r="AO21" s="988"/>
      <c r="AP21" s="988"/>
      <c r="AQ21" s="988"/>
      <c r="AR21" s="991"/>
      <c r="AS21" s="1046"/>
      <c r="AT21" s="1046"/>
      <c r="AU21" s="992"/>
      <c r="AV21" s="21"/>
      <c r="AY21" s="1062"/>
      <c r="AZ21" s="1025"/>
      <c r="BA21" s="976"/>
      <c r="BB21" s="976"/>
      <c r="BC21" s="962"/>
      <c r="BD21" s="962"/>
      <c r="BE21" s="1025"/>
      <c r="BF21" s="962"/>
      <c r="BG21" s="962"/>
      <c r="BH21" s="1043"/>
      <c r="BI21" s="1025"/>
      <c r="BJ21" s="1024"/>
      <c r="BK21" s="1024"/>
      <c r="BL21" s="1060"/>
      <c r="BM21" s="788"/>
      <c r="BN21" s="849"/>
      <c r="BO21" s="1064"/>
      <c r="BP21" s="788"/>
    </row>
    <row r="22" spans="1:68" ht="15.95" customHeight="1">
      <c r="A22" s="76"/>
      <c r="B22" s="800">
        <v>3</v>
      </c>
      <c r="C22" s="1018"/>
      <c r="D22" s="1018"/>
      <c r="E22" s="1018"/>
      <c r="F22" s="1018"/>
      <c r="G22" s="1018"/>
      <c r="H22" s="1018"/>
      <c r="I22" s="1018"/>
      <c r="J22" s="1018"/>
      <c r="K22" s="1018"/>
      <c r="L22" s="1018"/>
      <c r="M22" s="1018"/>
      <c r="N22" s="1018"/>
      <c r="O22" s="1018"/>
      <c r="P22" s="1018"/>
      <c r="Q22" s="1018"/>
      <c r="R22" s="1020" t="str">
        <f>IF(C22="","",INDEX(STDWATER_N[Current Unit],MATCH(C22,STDWATER_N[Measure Name],0)))</f>
        <v/>
      </c>
      <c r="S22" s="1020"/>
      <c r="T22" s="1020"/>
      <c r="U22" s="1022"/>
      <c r="V22" s="1022"/>
      <c r="W22" s="1018"/>
      <c r="X22" s="1018"/>
      <c r="Y22" s="1018"/>
      <c r="Z22" s="1018"/>
      <c r="AA22" s="1018"/>
      <c r="AB22" s="1018"/>
      <c r="AC22" s="1018"/>
      <c r="AD22" s="1018"/>
      <c r="AE22" s="1018"/>
      <c r="AF22" s="1018"/>
      <c r="AG22" s="1018"/>
      <c r="AH22" s="1029"/>
      <c r="AI22" s="1030"/>
      <c r="AJ22" s="980"/>
      <c r="AK22" s="980"/>
      <c r="AL22" s="982"/>
      <c r="AM22" s="1055" t="str">
        <f>IFERROR(IF(C22="","",INDEX(IF(AND(ACTIVEBONUS_N = TRUE,INDEX(STDWATER_N[Bonus Incentive],MATCH(C22,STDWATER_N[Measure Name],0))&lt;&gt; ""),STDWATER_N[Bonus Incentive],STDWATER_N[Base Incentive]),MATCH(C22,STDWATER_N[Measure Name],0))),"")</f>
        <v/>
      </c>
      <c r="AN22" s="1056"/>
      <c r="AO22" s="988" t="str">
        <f>IFERROR(IF(OR(C22="",U22="",R22="",AA22="",AE22="",AI22="",AK22=""),"",BA22),"")</f>
        <v/>
      </c>
      <c r="AP22" s="988"/>
      <c r="AQ22" s="988"/>
      <c r="AR22" s="998" t="str">
        <f>IFERROR(IF(OR(C22="",U22="",R22="",AA22="",AE22="",AI22="",AK22=""),"",IF(BK22&lt;&gt;"",BK22,IF(BP22&gt;0,BP22,ROUND(IF(AO22&lt;=0,0,MIN(AY22,BH22)),2)))),"")</f>
        <v/>
      </c>
      <c r="AS22" s="1045"/>
      <c r="AT22" s="1045"/>
      <c r="AU22" s="999"/>
      <c r="AV22" s="21"/>
      <c r="AY22" s="1061" t="str">
        <f>IF(OR(C22="",U22="",R22="",AA22="",AE22="",AI22="",AK22=""),"",IF(AO22=0,"",ROUND(AI22+AK22,2)))</f>
        <v/>
      </c>
      <c r="AZ22" s="1024" t="str">
        <f>IFERROR(IF(OR(C22="",U22="",R22="",AA22="",AE22="",AI22="",AK22=""),"",INDEX(STDWATER_N[Current Unit],MATCH(C22,STDWATER_N[Measure Name],0))),"Err")</f>
        <v/>
      </c>
      <c r="BA22" s="975" t="str">
        <f>IF(OR(C22="",U22="",R22="",AA22="",AE22="",AI22="",AK22=""),"",ROUND(U22*INDEX(STDWATER_N[Electric Energy Savings (Annual kWh/unit)],MATCH(C22,STDWATER_N[Measure Name],0)),0))</f>
        <v/>
      </c>
      <c r="BB22" s="975" t="str">
        <f>IF(OR(C22="",U22="",R22="",AA22="",AE22="",AI22="",AK22=""),"",ROUND(U22*INDEX(STDWATER_N[Coincident Peak Demand Savings (kW/unit)],MATCH(C22,STDWATER_N[Measure Name],0)),4))</f>
        <v/>
      </c>
      <c r="BC22" s="962"/>
      <c r="BD22" s="962"/>
      <c r="BE22" s="1024" t="str">
        <f>IFERROR(IF(OR(C22="",U22="",R22="",AA22="",AE22="",AI22="",AK22=""),"",INDEX(STDWATER_N[End Use],MATCH(C22,STDWATER_N[Measure Name],0))),"Err")</f>
        <v/>
      </c>
      <c r="BF22" s="962"/>
      <c r="BG22" s="962"/>
      <c r="BH22" s="1042" t="str">
        <f>IFERROR(ROUND(U22*AM22, 2), "")</f>
        <v/>
      </c>
      <c r="BI22" s="1024" t="str">
        <f>IFERROR(IF(OR(C22="",U22="",R22="",AA22="",AE22="",AI22="",AK22="",ISNUMBER(AR22)=FALSE,AR22=0),"",INDEX(STDWATER_N[Measure Number],MATCH(C22,STDWATER_N[Measure Name],0))),"Err")</f>
        <v/>
      </c>
      <c r="BJ22" s="1037" t="str">
        <f>IFERROR(IF(BP22="",IF(AR22 &lt; BH22, "100% Total Cost", ""), ""), "")</f>
        <v/>
      </c>
      <c r="BK22" s="1024" t="str">
        <f>IFERROR(IF(OR(C22="",U22="",AA22="",AE22="",AI22="",AK22=""),"",
IF(EXPIRATION&lt;&gt;"",PROJSTATEXP,"")),"")</f>
        <v/>
      </c>
      <c r="BL22" s="1059" t="str">
        <f>IFERROR(INDEX(STDWATER_N[Measure Life (Years)],MATCH(C22,STDWATER_N[Measure Name],0)),"")</f>
        <v/>
      </c>
      <c r="BM22" s="787" t="str">
        <f>IFERROR(IF(OR(C22="",U22="",R22="",AA22="",AE22="",AI22="",AK22=""),"",
ROUND(((1+ELOSS)*((BA22*INDEX(ELECCB[NPV AEC $/kWh],MATCH(BL22,ELECCB[Year Number],1)))+(BB22*INDEX(ELECCB[NPV ACC $/kW],MATCH(BL22,ELECCB[Year Number],1))))),2)),0)</f>
        <v/>
      </c>
      <c r="BN22" s="1014" t="str">
        <f>IFERROR(IF(BI22="","",INDEX(STDWATER_N[Reporting Methodology],MATCH(C22,STDWATER_N[Measure Name],0))),"Err")</f>
        <v/>
      </c>
      <c r="BO22" s="1063" t="str">
        <f>IFERROR(IF(OR(C22="",U22="",R22="",AA22="",AE22="",AI22="",AK22=""),"",U22*INDEX(STDWATER_N[Incremental Measure Cost ($/Unit)],MATCH(C22,STDWATER_N[Measure Name],0))),"Err")</f>
        <v/>
      </c>
      <c r="BP22" s="787"/>
    </row>
    <row r="23" spans="1:68" ht="15.95" customHeight="1">
      <c r="B23" s="800"/>
      <c r="C23" s="1018"/>
      <c r="D23" s="1018"/>
      <c r="E23" s="1018"/>
      <c r="F23" s="1018"/>
      <c r="G23" s="1018"/>
      <c r="H23" s="1018"/>
      <c r="I23" s="1018"/>
      <c r="J23" s="1018"/>
      <c r="K23" s="1018"/>
      <c r="L23" s="1018"/>
      <c r="M23" s="1018"/>
      <c r="N23" s="1018"/>
      <c r="O23" s="1018"/>
      <c r="P23" s="1018"/>
      <c r="Q23" s="1018"/>
      <c r="R23" s="1020"/>
      <c r="S23" s="1020"/>
      <c r="T23" s="1020"/>
      <c r="U23" s="1022"/>
      <c r="V23" s="1022"/>
      <c r="W23" s="1018"/>
      <c r="X23" s="1018"/>
      <c r="Y23" s="1018"/>
      <c r="Z23" s="1018"/>
      <c r="AA23" s="1018"/>
      <c r="AB23" s="1018"/>
      <c r="AC23" s="1018"/>
      <c r="AD23" s="1018"/>
      <c r="AE23" s="1018"/>
      <c r="AF23" s="1018"/>
      <c r="AG23" s="1018"/>
      <c r="AH23" s="1029"/>
      <c r="AI23" s="1030"/>
      <c r="AJ23" s="980"/>
      <c r="AK23" s="980"/>
      <c r="AL23" s="982"/>
      <c r="AM23" s="1057"/>
      <c r="AN23" s="1058"/>
      <c r="AO23" s="988"/>
      <c r="AP23" s="988"/>
      <c r="AQ23" s="988"/>
      <c r="AR23" s="991"/>
      <c r="AS23" s="1046"/>
      <c r="AT23" s="1046"/>
      <c r="AU23" s="992"/>
      <c r="AV23" s="21"/>
      <c r="AY23" s="1062"/>
      <c r="AZ23" s="1025"/>
      <c r="BA23" s="976"/>
      <c r="BB23" s="976"/>
      <c r="BC23" s="962"/>
      <c r="BD23" s="962"/>
      <c r="BE23" s="1025"/>
      <c r="BF23" s="962"/>
      <c r="BG23" s="962"/>
      <c r="BH23" s="1043"/>
      <c r="BI23" s="1025"/>
      <c r="BJ23" s="1024"/>
      <c r="BK23" s="1025"/>
      <c r="BL23" s="1060"/>
      <c r="BM23" s="788"/>
      <c r="BN23" s="849"/>
      <c r="BO23" s="1064"/>
      <c r="BP23" s="788"/>
    </row>
    <row r="24" spans="1:68" ht="15.95" customHeight="1">
      <c r="B24" s="800">
        <v>4</v>
      </c>
      <c r="C24" s="1018"/>
      <c r="D24" s="1018"/>
      <c r="E24" s="1018"/>
      <c r="F24" s="1018"/>
      <c r="G24" s="1018"/>
      <c r="H24" s="1018"/>
      <c r="I24" s="1018"/>
      <c r="J24" s="1018"/>
      <c r="K24" s="1018"/>
      <c r="L24" s="1018"/>
      <c r="M24" s="1018"/>
      <c r="N24" s="1018"/>
      <c r="O24" s="1018"/>
      <c r="P24" s="1018"/>
      <c r="Q24" s="1018"/>
      <c r="R24" s="1020" t="str">
        <f>IF(C24="","",INDEX(STDWATER_N[Current Unit],MATCH(C24,STDWATER_N[Measure Name],0)))</f>
        <v/>
      </c>
      <c r="S24" s="1020"/>
      <c r="T24" s="1020"/>
      <c r="U24" s="1022"/>
      <c r="V24" s="1022"/>
      <c r="W24" s="1018"/>
      <c r="X24" s="1018"/>
      <c r="Y24" s="1018"/>
      <c r="Z24" s="1018"/>
      <c r="AA24" s="1018"/>
      <c r="AB24" s="1018"/>
      <c r="AC24" s="1018"/>
      <c r="AD24" s="1018"/>
      <c r="AE24" s="1018"/>
      <c r="AF24" s="1018"/>
      <c r="AG24" s="1018"/>
      <c r="AH24" s="1029"/>
      <c r="AI24" s="1030"/>
      <c r="AJ24" s="980"/>
      <c r="AK24" s="980"/>
      <c r="AL24" s="982"/>
      <c r="AM24" s="1055" t="str">
        <f>IFERROR(IF(C24="","",INDEX(IF(AND(ACTIVEBONUS_N = TRUE,INDEX(STDWATER_N[Bonus Incentive],MATCH(C24,STDWATER_N[Measure Name],0))&lt;&gt; ""),STDWATER_N[Bonus Incentive],STDWATER_N[Base Incentive]),MATCH(C24,STDWATER_N[Measure Name],0))),"")</f>
        <v/>
      </c>
      <c r="AN24" s="1056"/>
      <c r="AO24" s="988" t="str">
        <f>IFERROR(IF(OR(C24="",U24="",R24="",AA24="",AE24="",AI24="",AK24=""),"",BA24),"")</f>
        <v/>
      </c>
      <c r="AP24" s="988"/>
      <c r="AQ24" s="988"/>
      <c r="AR24" s="998" t="str">
        <f>IFERROR(IF(OR(C24="",U24="",R24="",AA24="",AE24="",AI24="",AK24=""),"",IF(BK24&lt;&gt;"",BK24,IF(BP24&gt;0,BP24,ROUND(IF(AO24&lt;=0,0,MIN(AY24,BH24)),2)))),"")</f>
        <v/>
      </c>
      <c r="AS24" s="1045"/>
      <c r="AT24" s="1045"/>
      <c r="AU24" s="999"/>
      <c r="AV24" s="21"/>
      <c r="AY24" s="1061" t="str">
        <f>IF(OR(C24="",U24="",R24="",AA24="",AE24="",AI24="",AK24=""),"",IF(AO24=0,"",ROUND(AI24+AK24,2)))</f>
        <v/>
      </c>
      <c r="AZ24" s="1024" t="str">
        <f>IFERROR(IF(OR(C24="",U24="",R24="",AA24="",AE24="",AI24="",AK24=""),"",INDEX(STDWATER_N[Current Unit],MATCH(C24,STDWATER_N[Measure Name],0))),"Err")</f>
        <v/>
      </c>
      <c r="BA24" s="975" t="str">
        <f>IF(OR(C24="",U24="",R24="",AA24="",AE24="",AI24="",AK24=""),"",ROUND(U24*INDEX(STDWATER_N[Electric Energy Savings (Annual kWh/unit)],MATCH(C24,STDWATER_N[Measure Name],0)),0))</f>
        <v/>
      </c>
      <c r="BB24" s="975" t="str">
        <f>IF(OR(C24="",U24="",R24="",AA24="",AE24="",AI24="",AK24=""),"",ROUND(U24*INDEX(STDWATER_N[Coincident Peak Demand Savings (kW/unit)],MATCH(C24,STDWATER_N[Measure Name],0)),4))</f>
        <v/>
      </c>
      <c r="BC24" s="962"/>
      <c r="BD24" s="962"/>
      <c r="BE24" s="1024" t="str">
        <f>IFERROR(IF(OR(C24="",U24="",R24="",AA24="",AE24="",AI24="",AK24=""),"",INDEX(STDWATER_N[End Use],MATCH(C24,STDWATER_N[Measure Name],0))),"Err")</f>
        <v/>
      </c>
      <c r="BF24" s="962"/>
      <c r="BG24" s="962"/>
      <c r="BH24" s="1042" t="str">
        <f>IFERROR(ROUND(U24*AM24, 2), "")</f>
        <v/>
      </c>
      <c r="BI24" s="1024" t="str">
        <f>IFERROR(IF(OR(C24="",U24="",R24="",AA24="",AE24="",AI24="",AK24="",ISNUMBER(AR24)=FALSE,AR24=0),"",INDEX(STDWATER_N[Measure Number],MATCH(C24,STDWATER_N[Measure Name],0))),"Err")</f>
        <v/>
      </c>
      <c r="BJ24" s="1037" t="str">
        <f>IFERROR(IF(BP24="",IF(AR24 &lt; BH24, "100% Total Cost", ""), ""), "")</f>
        <v/>
      </c>
      <c r="BK24" s="1024" t="str">
        <f>IFERROR(IF(OR(C24="",U24="",AA24="",AE24="",AI24="",AK24=""),"",
IF(EXPIRATION&lt;&gt;"",PROJSTATEXP,"")),"")</f>
        <v/>
      </c>
      <c r="BL24" s="1059" t="str">
        <f>IFERROR(INDEX(STDWATER_N[Measure Life (Years)],MATCH(C24,STDWATER_N[Measure Name],0)),"")</f>
        <v/>
      </c>
      <c r="BM24" s="787" t="str">
        <f>IFERROR(IF(OR(C24="",U24="",R24="",AA24="",AE24="",AI24="",AK24=""),"",
ROUND(((1+ELOSS)*((BA24*INDEX(ELECCB[NPV AEC $/kWh],MATCH(BL24,ELECCB[Year Number],1)))+(BB24*INDEX(ELECCB[NPV ACC $/kW],MATCH(BL24,ELECCB[Year Number],1))))),2)),0)</f>
        <v/>
      </c>
      <c r="BN24" s="1014" t="str">
        <f>IFERROR(IF(BI24="","",INDEX(STDWATER_N[Reporting Methodology],MATCH(C24,STDWATER_N[Measure Name],0))),"Err")</f>
        <v/>
      </c>
      <c r="BO24" s="1063" t="str">
        <f>IFERROR(IF(OR(C24="",U24="",R24="",AA24="",AE24="",AI24="",AK24=""),"",U24*INDEX(STDWATER_N[Incremental Measure Cost ($/Unit)],MATCH(C24,STDWATER_N[Measure Name],0))),"Err")</f>
        <v/>
      </c>
      <c r="BP24" s="787"/>
    </row>
    <row r="25" spans="1:68" ht="15.95" customHeight="1">
      <c r="A25" s="76"/>
      <c r="B25" s="800"/>
      <c r="C25" s="1018"/>
      <c r="D25" s="1018"/>
      <c r="E25" s="1018"/>
      <c r="F25" s="1018"/>
      <c r="G25" s="1018"/>
      <c r="H25" s="1018"/>
      <c r="I25" s="1018"/>
      <c r="J25" s="1018"/>
      <c r="K25" s="1018"/>
      <c r="L25" s="1018"/>
      <c r="M25" s="1018"/>
      <c r="N25" s="1018"/>
      <c r="O25" s="1018"/>
      <c r="P25" s="1018"/>
      <c r="Q25" s="1018"/>
      <c r="R25" s="1020"/>
      <c r="S25" s="1020"/>
      <c r="T25" s="1020"/>
      <c r="U25" s="1022"/>
      <c r="V25" s="1022"/>
      <c r="W25" s="1018"/>
      <c r="X25" s="1018"/>
      <c r="Y25" s="1018"/>
      <c r="Z25" s="1018"/>
      <c r="AA25" s="1018"/>
      <c r="AB25" s="1018"/>
      <c r="AC25" s="1018"/>
      <c r="AD25" s="1018"/>
      <c r="AE25" s="1018"/>
      <c r="AF25" s="1018"/>
      <c r="AG25" s="1018"/>
      <c r="AH25" s="1029"/>
      <c r="AI25" s="1030"/>
      <c r="AJ25" s="980"/>
      <c r="AK25" s="980"/>
      <c r="AL25" s="982"/>
      <c r="AM25" s="1057"/>
      <c r="AN25" s="1058"/>
      <c r="AO25" s="988"/>
      <c r="AP25" s="988"/>
      <c r="AQ25" s="988"/>
      <c r="AR25" s="991"/>
      <c r="AS25" s="1046"/>
      <c r="AT25" s="1046"/>
      <c r="AU25" s="992"/>
      <c r="AV25" s="21"/>
      <c r="AY25" s="1062"/>
      <c r="AZ25" s="1025"/>
      <c r="BA25" s="976"/>
      <c r="BB25" s="976"/>
      <c r="BC25" s="962"/>
      <c r="BD25" s="962"/>
      <c r="BE25" s="1025"/>
      <c r="BF25" s="962"/>
      <c r="BG25" s="962"/>
      <c r="BH25" s="1043"/>
      <c r="BI25" s="1025"/>
      <c r="BJ25" s="1024"/>
      <c r="BK25" s="1025"/>
      <c r="BL25" s="1060"/>
      <c r="BM25" s="788"/>
      <c r="BN25" s="849"/>
      <c r="BO25" s="1064"/>
      <c r="BP25" s="788"/>
    </row>
    <row r="26" spans="1:68" ht="15.95" customHeight="1">
      <c r="B26" s="800">
        <v>5</v>
      </c>
      <c r="C26" s="1018"/>
      <c r="D26" s="1018"/>
      <c r="E26" s="1018"/>
      <c r="F26" s="1018"/>
      <c r="G26" s="1018"/>
      <c r="H26" s="1018"/>
      <c r="I26" s="1018"/>
      <c r="J26" s="1018"/>
      <c r="K26" s="1018"/>
      <c r="L26" s="1018"/>
      <c r="M26" s="1018"/>
      <c r="N26" s="1018"/>
      <c r="O26" s="1018"/>
      <c r="P26" s="1018"/>
      <c r="Q26" s="1018"/>
      <c r="R26" s="1020" t="str">
        <f>IF(C26="","",INDEX(STDWATER_N[Current Unit],MATCH(C26,STDWATER_N[Measure Name],0)))</f>
        <v/>
      </c>
      <c r="S26" s="1020"/>
      <c r="T26" s="1020"/>
      <c r="U26" s="1022"/>
      <c r="V26" s="1022"/>
      <c r="W26" s="1018"/>
      <c r="X26" s="1018"/>
      <c r="Y26" s="1018"/>
      <c r="Z26" s="1018"/>
      <c r="AA26" s="1018"/>
      <c r="AB26" s="1018"/>
      <c r="AC26" s="1018"/>
      <c r="AD26" s="1018"/>
      <c r="AE26" s="1018"/>
      <c r="AF26" s="1018"/>
      <c r="AG26" s="1018"/>
      <c r="AH26" s="1029"/>
      <c r="AI26" s="1030"/>
      <c r="AJ26" s="980"/>
      <c r="AK26" s="980"/>
      <c r="AL26" s="982"/>
      <c r="AM26" s="1055" t="str">
        <f>IFERROR(IF(C26="","",INDEX(IF(AND(ACTIVEBONUS_N = TRUE,INDEX(STDWATER_N[Bonus Incentive],MATCH(C26,STDWATER_N[Measure Name],0))&lt;&gt; ""),STDWATER_N[Bonus Incentive],STDWATER_N[Base Incentive]),MATCH(C26,STDWATER_N[Measure Name],0))),"")</f>
        <v/>
      </c>
      <c r="AN26" s="1056"/>
      <c r="AO26" s="988" t="str">
        <f>IFERROR(IF(OR(C26="",U26="",R26="",AA26="",AE26="",AI26="",AK26=""),"",BA26),"")</f>
        <v/>
      </c>
      <c r="AP26" s="988"/>
      <c r="AQ26" s="988"/>
      <c r="AR26" s="998" t="str">
        <f>IFERROR(IF(OR(C26="",U26="",R26="",AA26="",AE26="",AI26="",AK26=""),"",IF(BK26&lt;&gt;"",BK26,IF(BP26&gt;0,BP26,ROUND(IF(AO26&lt;=0,0,MIN(AY26,BH26)),2)))),"")</f>
        <v/>
      </c>
      <c r="AS26" s="1045"/>
      <c r="AT26" s="1045"/>
      <c r="AU26" s="999"/>
      <c r="AV26" s="21"/>
      <c r="AY26" s="1061" t="str">
        <f>IF(OR(C26="",U26="",R26="",AA26="",AE26="",AI26="",AK26=""),"",IF(AO26=0,"",ROUND(AI26+AK26,2)))</f>
        <v/>
      </c>
      <c r="AZ26" s="1024" t="str">
        <f>IFERROR(IF(OR(C26="",U26="",R26="",AA26="",AE26="",AI26="",AK26=""),"",INDEX(STDWATER_N[Current Unit],MATCH(C26,STDWATER_N[Measure Name],0))),"Err")</f>
        <v/>
      </c>
      <c r="BA26" s="975" t="str">
        <f>IF(OR(C26="",U26="",R26="",AA26="",AE26="",AI26="",AK26=""),"",ROUND(U26*INDEX(STDWATER_N[Electric Energy Savings (Annual kWh/unit)],MATCH(C26,STDWATER_N[Measure Name],0)),0))</f>
        <v/>
      </c>
      <c r="BB26" s="975" t="str">
        <f>IF(OR(C26="",U26="",R26="",AA26="",AE26="",AI26="",AK26=""),"",ROUND(U26*INDEX(STDWATER_N[Coincident Peak Demand Savings (kW/unit)],MATCH(C26,STDWATER_N[Measure Name],0)),4))</f>
        <v/>
      </c>
      <c r="BC26" s="962"/>
      <c r="BD26" s="962"/>
      <c r="BE26" s="1024" t="str">
        <f>IFERROR(IF(OR(C26="",U26="",R26="",AA26="",AE26="",AI26="",AK26=""),"",INDEX(STDWATER_N[End Use],MATCH(C26,STDWATER_N[Measure Name],0))),"Err")</f>
        <v/>
      </c>
      <c r="BF26" s="962"/>
      <c r="BG26" s="962"/>
      <c r="BH26" s="1042" t="str">
        <f>IFERROR(ROUND(U26*AM26, 2), "")</f>
        <v/>
      </c>
      <c r="BI26" s="1024" t="str">
        <f>IFERROR(IF(OR(C26="",U26="",R26="",AA26="",AE26="",AI26="",AK26="",ISNUMBER(AR26)=FALSE,AR26=0),"",INDEX(STDWATER_N[Measure Number],MATCH(C26,STDWATER_N[Measure Name],0))),"Err")</f>
        <v/>
      </c>
      <c r="BJ26" s="1037" t="str">
        <f>IFERROR(IF(BP26="",IF(AR26 &lt; BH26, "100% Total Cost", ""), ""), "")</f>
        <v/>
      </c>
      <c r="BK26" s="1024" t="str">
        <f>IFERROR(IF(OR(C26="",U26="",AA26="",AE26="",AI26="",AK26=""),"",
IF(EXPIRATION&lt;&gt;"",PROJSTATEXP,"")),"")</f>
        <v/>
      </c>
      <c r="BL26" s="1059" t="str">
        <f>IFERROR(INDEX(STDWATER_N[Measure Life (Years)],MATCH(C26,STDWATER_N[Measure Name],0)),"")</f>
        <v/>
      </c>
      <c r="BM26" s="787" t="str">
        <f>IFERROR(IF(OR(C26="",U26="",R26="",AA26="",AE26="",AI26="",AK26=""),"",
ROUND(((1+ELOSS)*((BA26*INDEX(ELECCB[NPV AEC $/kWh],MATCH(BL26,ELECCB[Year Number],1)))+(BB26*INDEX(ELECCB[NPV ACC $/kW],MATCH(BL26,ELECCB[Year Number],1))))),2)),0)</f>
        <v/>
      </c>
      <c r="BN26" s="1014" t="str">
        <f>IFERROR(IF(BI26="","",INDEX(STDWATER_N[Reporting Methodology],MATCH(C26,STDWATER_N[Measure Name],0))),"Err")</f>
        <v/>
      </c>
      <c r="BO26" s="1063" t="str">
        <f>IFERROR(IF(OR(C26="",U26="",R26="",AA26="",AE26="",AI26="",AK26=""),"",U26*INDEX(STDWATER_N[Incremental Measure Cost ($/Unit)],MATCH(C26,STDWATER_N[Measure Name],0))),"Err")</f>
        <v/>
      </c>
      <c r="BP26" s="787"/>
    </row>
    <row r="27" spans="1:68" ht="15.95" customHeight="1">
      <c r="B27" s="800"/>
      <c r="C27" s="1018"/>
      <c r="D27" s="1018"/>
      <c r="E27" s="1018"/>
      <c r="F27" s="1018"/>
      <c r="G27" s="1018"/>
      <c r="H27" s="1018"/>
      <c r="I27" s="1018"/>
      <c r="J27" s="1018"/>
      <c r="K27" s="1018"/>
      <c r="L27" s="1018"/>
      <c r="M27" s="1018"/>
      <c r="N27" s="1018"/>
      <c r="O27" s="1018"/>
      <c r="P27" s="1018"/>
      <c r="Q27" s="1018"/>
      <c r="R27" s="1020"/>
      <c r="S27" s="1020"/>
      <c r="T27" s="1020"/>
      <c r="U27" s="1022"/>
      <c r="V27" s="1022"/>
      <c r="W27" s="1018"/>
      <c r="X27" s="1018"/>
      <c r="Y27" s="1018"/>
      <c r="Z27" s="1018"/>
      <c r="AA27" s="1018"/>
      <c r="AB27" s="1018"/>
      <c r="AC27" s="1018"/>
      <c r="AD27" s="1018"/>
      <c r="AE27" s="1018"/>
      <c r="AF27" s="1018"/>
      <c r="AG27" s="1018"/>
      <c r="AH27" s="1029"/>
      <c r="AI27" s="1030"/>
      <c r="AJ27" s="980"/>
      <c r="AK27" s="980"/>
      <c r="AL27" s="982"/>
      <c r="AM27" s="1057"/>
      <c r="AN27" s="1058"/>
      <c r="AO27" s="988"/>
      <c r="AP27" s="988"/>
      <c r="AQ27" s="988"/>
      <c r="AR27" s="991"/>
      <c r="AS27" s="1046"/>
      <c r="AT27" s="1046"/>
      <c r="AU27" s="992"/>
      <c r="AV27" s="21"/>
      <c r="AY27" s="1062"/>
      <c r="AZ27" s="1025"/>
      <c r="BA27" s="976"/>
      <c r="BB27" s="976"/>
      <c r="BC27" s="962"/>
      <c r="BD27" s="962"/>
      <c r="BE27" s="1025"/>
      <c r="BF27" s="962"/>
      <c r="BG27" s="962"/>
      <c r="BH27" s="1043"/>
      <c r="BI27" s="1025"/>
      <c r="BJ27" s="1024"/>
      <c r="BK27" s="1025"/>
      <c r="BL27" s="1060"/>
      <c r="BM27" s="788"/>
      <c r="BN27" s="849"/>
      <c r="BO27" s="1064"/>
      <c r="BP27" s="788"/>
    </row>
    <row r="28" spans="1:68" ht="15.95" customHeight="1">
      <c r="B28" s="800">
        <v>6</v>
      </c>
      <c r="C28" s="1018"/>
      <c r="D28" s="1018"/>
      <c r="E28" s="1018"/>
      <c r="F28" s="1018"/>
      <c r="G28" s="1018"/>
      <c r="H28" s="1018"/>
      <c r="I28" s="1018"/>
      <c r="J28" s="1018"/>
      <c r="K28" s="1018"/>
      <c r="L28" s="1018"/>
      <c r="M28" s="1018"/>
      <c r="N28" s="1018"/>
      <c r="O28" s="1018"/>
      <c r="P28" s="1018"/>
      <c r="Q28" s="1018"/>
      <c r="R28" s="1020" t="str">
        <f>IF(C28="","",INDEX(STDWATER_N[Current Unit],MATCH(C28,STDWATER_N[Measure Name],0)))</f>
        <v/>
      </c>
      <c r="S28" s="1020"/>
      <c r="T28" s="1020"/>
      <c r="U28" s="1022"/>
      <c r="V28" s="1022"/>
      <c r="W28" s="1018"/>
      <c r="X28" s="1018"/>
      <c r="Y28" s="1018"/>
      <c r="Z28" s="1018"/>
      <c r="AA28" s="1018"/>
      <c r="AB28" s="1018"/>
      <c r="AC28" s="1018"/>
      <c r="AD28" s="1018"/>
      <c r="AE28" s="1018"/>
      <c r="AF28" s="1018"/>
      <c r="AG28" s="1018"/>
      <c r="AH28" s="1029"/>
      <c r="AI28" s="1030"/>
      <c r="AJ28" s="980"/>
      <c r="AK28" s="980"/>
      <c r="AL28" s="982"/>
      <c r="AM28" s="1055" t="str">
        <f>IFERROR(IF(C28="","",INDEX(IF(AND(ACTIVEBONUS_N = TRUE,INDEX(STDWATER_N[Bonus Incentive],MATCH(C28,STDWATER_N[Measure Name],0))&lt;&gt; ""),STDWATER_N[Bonus Incentive],STDWATER_N[Base Incentive]),MATCH(C28,STDWATER_N[Measure Name],0))),"")</f>
        <v/>
      </c>
      <c r="AN28" s="1056"/>
      <c r="AO28" s="988" t="str">
        <f>IFERROR(IF(OR(C28="",U28="",R28="",AA28="",AE28="",AI28="",AK28=""),"",BA28),"")</f>
        <v/>
      </c>
      <c r="AP28" s="988"/>
      <c r="AQ28" s="988"/>
      <c r="AR28" s="998" t="str">
        <f>IFERROR(IF(OR(C28="",U28="",R28="",AA28="",AE28="",AI28="",AK28=""),"",IF(BK28&lt;&gt;"",BK28,IF(BP28&gt;0,BP28,ROUND(IF(AO28&lt;=0,0,MIN(AY28,BH28)),2)))),"")</f>
        <v/>
      </c>
      <c r="AS28" s="1045"/>
      <c r="AT28" s="1045"/>
      <c r="AU28" s="999"/>
      <c r="AV28" s="21"/>
      <c r="AY28" s="1061" t="str">
        <f>IF(OR(C28="",U28="",R28="",AA28="",AE28="",AI28="",AK28=""),"",IF(AO28=0,"",ROUND(AI28+AK28,2)))</f>
        <v/>
      </c>
      <c r="AZ28" s="1024" t="str">
        <f>IFERROR(IF(OR(C28="",U28="",R28="",AA28="",AE28="",AI28="",AK28=""),"",INDEX(STDWATER_N[Current Unit],MATCH(C28,STDWATER_N[Measure Name],0))),"Err")</f>
        <v/>
      </c>
      <c r="BA28" s="975" t="str">
        <f>IF(OR(C28="",U28="",R28="",AA28="",AE28="",AI28="",AK28=""),"",ROUND(U28*INDEX(STDWATER_N[Electric Energy Savings (Annual kWh/unit)],MATCH(C28,STDWATER_N[Measure Name],0)),0))</f>
        <v/>
      </c>
      <c r="BB28" s="975" t="str">
        <f>IF(OR(C28="",U28="",R28="",AA28="",AE28="",AI28="",AK28=""),"",ROUND(U28*INDEX(STDWATER_N[Coincident Peak Demand Savings (kW/unit)],MATCH(C28,STDWATER_N[Measure Name],0)),4))</f>
        <v/>
      </c>
      <c r="BC28" s="962"/>
      <c r="BD28" s="962"/>
      <c r="BE28" s="1024" t="str">
        <f>IFERROR(IF(OR(C28="",U28="",R28="",AA28="",AE28="",AI28="",AK28=""),"",INDEX(STDWATER_N[End Use],MATCH(C28,STDWATER_N[Measure Name],0))),"Err")</f>
        <v/>
      </c>
      <c r="BF28" s="962"/>
      <c r="BG28" s="962"/>
      <c r="BH28" s="1042" t="str">
        <f>IFERROR(ROUND(U28*AM28, 2), "")</f>
        <v/>
      </c>
      <c r="BI28" s="1024" t="str">
        <f>IFERROR(IF(OR(C28="",U28="",R28="",AA28="",AE28="",AI28="",AK28="",ISNUMBER(AR28)=FALSE,AR28=0),"",INDEX(STDWATER_N[Measure Number],MATCH(C28,STDWATER_N[Measure Name],0))),"Err")</f>
        <v/>
      </c>
      <c r="BJ28" s="1037" t="str">
        <f>IFERROR(IF(BP28="",IF(AR28 &lt; BH28, "100% Total Cost", ""), ""), "")</f>
        <v/>
      </c>
      <c r="BK28" s="1024" t="str">
        <f>IFERROR(IF(OR(C28="",U28="",AA28="",AE28="",AI28="",AK28=""),"",
IF(EXPIRATION&lt;&gt;"",PROJSTATEXP,"")),"")</f>
        <v/>
      </c>
      <c r="BL28" s="1059" t="str">
        <f>IFERROR(INDEX(STDWATER_N[Measure Life (Years)],MATCH(C28,STDWATER_N[Measure Name],0)),"")</f>
        <v/>
      </c>
      <c r="BM28" s="787" t="str">
        <f>IFERROR(IF(OR(C28="",U28="",R28="",AA28="",AE28="",AI28="",AK28=""),"",
ROUND(((1+ELOSS)*((BA28*INDEX(ELECCB[NPV AEC $/kWh],MATCH(BL28,ELECCB[Year Number],1)))+(BB28*INDEX(ELECCB[NPV ACC $/kW],MATCH(BL28,ELECCB[Year Number],1))))),2)),0)</f>
        <v/>
      </c>
      <c r="BN28" s="1014" t="str">
        <f>IFERROR(IF(BI28="","",INDEX(STDWATER_N[Reporting Methodology],MATCH(C28,STDWATER_N[Measure Name],0))),"Err")</f>
        <v/>
      </c>
      <c r="BO28" s="1063" t="str">
        <f>IFERROR(IF(OR(C28="",U28="",R28="",AA28="",AE28="",AI28="",AK28=""),"",U28*INDEX(STDWATER_N[Incremental Measure Cost ($/Unit)],MATCH(C28,STDWATER_N[Measure Name],0))),"Err")</f>
        <v/>
      </c>
      <c r="BP28" s="787"/>
    </row>
    <row r="29" spans="1:68" ht="15.95" customHeight="1">
      <c r="B29" s="800"/>
      <c r="C29" s="1018"/>
      <c r="D29" s="1018"/>
      <c r="E29" s="1018"/>
      <c r="F29" s="1018"/>
      <c r="G29" s="1018"/>
      <c r="H29" s="1018"/>
      <c r="I29" s="1018"/>
      <c r="J29" s="1018"/>
      <c r="K29" s="1018"/>
      <c r="L29" s="1018"/>
      <c r="M29" s="1018"/>
      <c r="N29" s="1018"/>
      <c r="O29" s="1018"/>
      <c r="P29" s="1018"/>
      <c r="Q29" s="1018"/>
      <c r="R29" s="1020"/>
      <c r="S29" s="1020"/>
      <c r="T29" s="1020"/>
      <c r="U29" s="1022"/>
      <c r="V29" s="1022"/>
      <c r="W29" s="1018"/>
      <c r="X29" s="1018"/>
      <c r="Y29" s="1018"/>
      <c r="Z29" s="1018"/>
      <c r="AA29" s="1018"/>
      <c r="AB29" s="1018"/>
      <c r="AC29" s="1018"/>
      <c r="AD29" s="1018"/>
      <c r="AE29" s="1018"/>
      <c r="AF29" s="1018"/>
      <c r="AG29" s="1018"/>
      <c r="AH29" s="1029"/>
      <c r="AI29" s="1030"/>
      <c r="AJ29" s="980"/>
      <c r="AK29" s="980"/>
      <c r="AL29" s="982"/>
      <c r="AM29" s="1057"/>
      <c r="AN29" s="1058"/>
      <c r="AO29" s="988"/>
      <c r="AP29" s="988"/>
      <c r="AQ29" s="988"/>
      <c r="AR29" s="991"/>
      <c r="AS29" s="1046"/>
      <c r="AT29" s="1046"/>
      <c r="AU29" s="992"/>
      <c r="AV29" s="21"/>
      <c r="AY29" s="1062"/>
      <c r="AZ29" s="1025"/>
      <c r="BA29" s="976"/>
      <c r="BB29" s="976"/>
      <c r="BC29" s="962"/>
      <c r="BD29" s="962"/>
      <c r="BE29" s="1025"/>
      <c r="BF29" s="962"/>
      <c r="BG29" s="962"/>
      <c r="BH29" s="1043"/>
      <c r="BI29" s="1025"/>
      <c r="BJ29" s="1024"/>
      <c r="BK29" s="1025"/>
      <c r="BL29" s="1060"/>
      <c r="BM29" s="788"/>
      <c r="BN29" s="849"/>
      <c r="BO29" s="1064"/>
      <c r="BP29" s="788"/>
    </row>
    <row r="30" spans="1:68" ht="15.95" customHeight="1">
      <c r="B30" s="800">
        <v>7</v>
      </c>
      <c r="C30" s="1018"/>
      <c r="D30" s="1018"/>
      <c r="E30" s="1018"/>
      <c r="F30" s="1018"/>
      <c r="G30" s="1018"/>
      <c r="H30" s="1018"/>
      <c r="I30" s="1018"/>
      <c r="J30" s="1018"/>
      <c r="K30" s="1018"/>
      <c r="L30" s="1018"/>
      <c r="M30" s="1018"/>
      <c r="N30" s="1018"/>
      <c r="O30" s="1018"/>
      <c r="P30" s="1018"/>
      <c r="Q30" s="1018"/>
      <c r="R30" s="1020" t="str">
        <f>IF(C30="","",INDEX(STDWATER_N[Current Unit],MATCH(C30,STDWATER_N[Measure Name],0)))</f>
        <v/>
      </c>
      <c r="S30" s="1020"/>
      <c r="T30" s="1020"/>
      <c r="U30" s="1022"/>
      <c r="V30" s="1022"/>
      <c r="W30" s="1018"/>
      <c r="X30" s="1018"/>
      <c r="Y30" s="1018"/>
      <c r="Z30" s="1018"/>
      <c r="AA30" s="1018"/>
      <c r="AB30" s="1018"/>
      <c r="AC30" s="1018"/>
      <c r="AD30" s="1018"/>
      <c r="AE30" s="1018"/>
      <c r="AF30" s="1018"/>
      <c r="AG30" s="1018"/>
      <c r="AH30" s="1029"/>
      <c r="AI30" s="1030"/>
      <c r="AJ30" s="980"/>
      <c r="AK30" s="980"/>
      <c r="AL30" s="982"/>
      <c r="AM30" s="1055" t="str">
        <f>IFERROR(IF(C30="","",INDEX(IF(AND(ACTIVEBONUS_N = TRUE,INDEX(STDWATER_N[Bonus Incentive],MATCH(C30,STDWATER_N[Measure Name],0))&lt;&gt; ""),STDWATER_N[Bonus Incentive],STDWATER_N[Base Incentive]),MATCH(C30,STDWATER_N[Measure Name],0))),"")</f>
        <v/>
      </c>
      <c r="AN30" s="1056"/>
      <c r="AO30" s="988" t="str">
        <f>IFERROR(IF(OR(C30="",U30="",R30="",AA30="",AE30="",AI30="",AK30=""),"",BA30),"")</f>
        <v/>
      </c>
      <c r="AP30" s="988"/>
      <c r="AQ30" s="988"/>
      <c r="AR30" s="998" t="str">
        <f>IFERROR(IF(OR(C30="",U30="",R30="",AA30="",AE30="",AI30="",AK30=""),"",IF(BK30&lt;&gt;"",BK30,IF(BP30&gt;0,BP30,ROUND(IF(AO30&lt;=0,0,MIN(AY30,BH30)),2)))),"")</f>
        <v/>
      </c>
      <c r="AS30" s="1045"/>
      <c r="AT30" s="1045"/>
      <c r="AU30" s="999"/>
      <c r="AV30" s="21"/>
      <c r="AY30" s="1061" t="str">
        <f>IF(OR(C30="",U30="",R30="",AA30="",AE30="",AI30="",AK30=""),"",IF(AO30=0,"",ROUND(AI30+AK30,2)))</f>
        <v/>
      </c>
      <c r="AZ30" s="1024" t="str">
        <f>IFERROR(IF(OR(C30="",U30="",R30="",AA30="",AE30="",AI30="",AK30=""),"",INDEX(STDWATER_N[Current Unit],MATCH(C30,STDWATER_N[Measure Name],0))),"Err")</f>
        <v/>
      </c>
      <c r="BA30" s="975" t="str">
        <f>IF(OR(C30="",U30="",R30="",AA30="",AE30="",AI30="",AK30=""),"",ROUND(U30*INDEX(STDWATER_N[Electric Energy Savings (Annual kWh/unit)],MATCH(C30,STDWATER_N[Measure Name],0)),0))</f>
        <v/>
      </c>
      <c r="BB30" s="975" t="str">
        <f>IF(OR(C30="",U30="",R30="",AA30="",AE30="",AI30="",AK30=""),"",ROUND(U30*INDEX(STDWATER_N[Coincident Peak Demand Savings (kW/unit)],MATCH(C30,STDWATER_N[Measure Name],0)),4))</f>
        <v/>
      </c>
      <c r="BC30" s="962"/>
      <c r="BD30" s="962"/>
      <c r="BE30" s="1024" t="str">
        <f>IFERROR(IF(OR(C30="",U30="",R30="",AA30="",AE30="",AI30="",AK30=""),"",INDEX(STDWATER_N[End Use],MATCH(C30,STDWATER_N[Measure Name],0))),"Err")</f>
        <v/>
      </c>
      <c r="BF30" s="962"/>
      <c r="BG30" s="962"/>
      <c r="BH30" s="1042" t="str">
        <f>IFERROR(ROUND(U30*AM30, 2), "")</f>
        <v/>
      </c>
      <c r="BI30" s="1024" t="str">
        <f>IFERROR(IF(OR(C30="",U30="",R30="",AA30="",AE30="",AI30="",AK30="",ISNUMBER(AR30)=FALSE,AR30=0),"",INDEX(STDWATER_N[Measure Number],MATCH(C30,STDWATER_N[Measure Name],0))),"Err")</f>
        <v/>
      </c>
      <c r="BJ30" s="1037" t="str">
        <f>IFERROR(IF(BP30="",IF(AR30 &lt; BH30, "100% Total Cost", ""), ""), "")</f>
        <v/>
      </c>
      <c r="BK30" s="1024" t="str">
        <f>IFERROR(IF(OR(C30="",U30="",AA30="",AE30="",AI30="",AK30=""),"",
IF(EXPIRATION&lt;&gt;"",PROJSTATEXP,"")),"")</f>
        <v/>
      </c>
      <c r="BL30" s="1059" t="str">
        <f>IFERROR(INDEX(STDWATER_N[Measure Life (Years)],MATCH(C30,STDWATER_N[Measure Name],0)),"")</f>
        <v/>
      </c>
      <c r="BM30" s="787" t="str">
        <f>IFERROR(IF(OR(C30="",U30="",R30="",AA30="",AE30="",AI30="",AK30=""),"",
ROUND(((1+ELOSS)*((BA30*INDEX(ELECCB[NPV AEC $/kWh],MATCH(BL30,ELECCB[Year Number],1)))+(BB30*INDEX(ELECCB[NPV ACC $/kW],MATCH(BL30,ELECCB[Year Number],1))))),2)),0)</f>
        <v/>
      </c>
      <c r="BN30" s="1014" t="str">
        <f>IFERROR(IF(BI30="","",INDEX(STDWATER_N[Reporting Methodology],MATCH(C30,STDWATER_N[Measure Name],0))),"Err")</f>
        <v/>
      </c>
      <c r="BO30" s="1063" t="str">
        <f>IFERROR(IF(OR(C30="",U30="",R30="",AA30="",AE30="",AI30="",AK30=""),"",U30*INDEX(STDWATER_N[Incremental Measure Cost ($/Unit)],MATCH(C30,STDWATER_N[Measure Name],0))),"Err")</f>
        <v/>
      </c>
      <c r="BP30" s="787"/>
    </row>
    <row r="31" spans="1:68" ht="15.95" customHeight="1">
      <c r="B31" s="800"/>
      <c r="C31" s="1018"/>
      <c r="D31" s="1018"/>
      <c r="E31" s="1018"/>
      <c r="F31" s="1018"/>
      <c r="G31" s="1018"/>
      <c r="H31" s="1018"/>
      <c r="I31" s="1018"/>
      <c r="J31" s="1018"/>
      <c r="K31" s="1018"/>
      <c r="L31" s="1018"/>
      <c r="M31" s="1018"/>
      <c r="N31" s="1018"/>
      <c r="O31" s="1018"/>
      <c r="P31" s="1018"/>
      <c r="Q31" s="1018"/>
      <c r="R31" s="1020"/>
      <c r="S31" s="1020"/>
      <c r="T31" s="1020"/>
      <c r="U31" s="1022"/>
      <c r="V31" s="1022"/>
      <c r="W31" s="1018"/>
      <c r="X31" s="1018"/>
      <c r="Y31" s="1018"/>
      <c r="Z31" s="1018"/>
      <c r="AA31" s="1018"/>
      <c r="AB31" s="1018"/>
      <c r="AC31" s="1018"/>
      <c r="AD31" s="1018"/>
      <c r="AE31" s="1018"/>
      <c r="AF31" s="1018"/>
      <c r="AG31" s="1018"/>
      <c r="AH31" s="1029"/>
      <c r="AI31" s="1030"/>
      <c r="AJ31" s="980"/>
      <c r="AK31" s="980"/>
      <c r="AL31" s="982"/>
      <c r="AM31" s="1057"/>
      <c r="AN31" s="1058"/>
      <c r="AO31" s="988"/>
      <c r="AP31" s="988"/>
      <c r="AQ31" s="988"/>
      <c r="AR31" s="991"/>
      <c r="AS31" s="1046"/>
      <c r="AT31" s="1046"/>
      <c r="AU31" s="992"/>
      <c r="AV31" s="21"/>
      <c r="AY31" s="1062"/>
      <c r="AZ31" s="1025"/>
      <c r="BA31" s="976"/>
      <c r="BB31" s="976"/>
      <c r="BC31" s="962"/>
      <c r="BD31" s="962"/>
      <c r="BE31" s="1025"/>
      <c r="BF31" s="962"/>
      <c r="BG31" s="962"/>
      <c r="BH31" s="1043"/>
      <c r="BI31" s="1025"/>
      <c r="BJ31" s="1024"/>
      <c r="BK31" s="1025"/>
      <c r="BL31" s="1060"/>
      <c r="BM31" s="788"/>
      <c r="BN31" s="849"/>
      <c r="BO31" s="1064"/>
      <c r="BP31" s="788"/>
    </row>
    <row r="32" spans="1:68" ht="15.95" customHeight="1">
      <c r="B32" s="800">
        <v>8</v>
      </c>
      <c r="C32" s="1018"/>
      <c r="D32" s="1018"/>
      <c r="E32" s="1018"/>
      <c r="F32" s="1018"/>
      <c r="G32" s="1018"/>
      <c r="H32" s="1018"/>
      <c r="I32" s="1018"/>
      <c r="J32" s="1018"/>
      <c r="K32" s="1018"/>
      <c r="L32" s="1018"/>
      <c r="M32" s="1018"/>
      <c r="N32" s="1018"/>
      <c r="O32" s="1018"/>
      <c r="P32" s="1018"/>
      <c r="Q32" s="1018"/>
      <c r="R32" s="1020" t="str">
        <f>IF(C32="","",INDEX(STDWATER_N[Current Unit],MATCH(C32,STDWATER_N[Measure Name],0)))</f>
        <v/>
      </c>
      <c r="S32" s="1020"/>
      <c r="T32" s="1020"/>
      <c r="U32" s="1022"/>
      <c r="V32" s="1022"/>
      <c r="W32" s="1018"/>
      <c r="X32" s="1018"/>
      <c r="Y32" s="1018"/>
      <c r="Z32" s="1018"/>
      <c r="AA32" s="1018"/>
      <c r="AB32" s="1018"/>
      <c r="AC32" s="1018"/>
      <c r="AD32" s="1018"/>
      <c r="AE32" s="1018"/>
      <c r="AF32" s="1018"/>
      <c r="AG32" s="1018"/>
      <c r="AH32" s="1029"/>
      <c r="AI32" s="1030"/>
      <c r="AJ32" s="980"/>
      <c r="AK32" s="980"/>
      <c r="AL32" s="982"/>
      <c r="AM32" s="1055" t="str">
        <f>IFERROR(IF(C32="","",INDEX(IF(AND(ACTIVEBONUS_N = TRUE,INDEX(STDWATER_N[Bonus Incentive],MATCH(C32,STDWATER_N[Measure Name],0))&lt;&gt; ""),STDWATER_N[Bonus Incentive],STDWATER_N[Base Incentive]),MATCH(C32,STDWATER_N[Measure Name],0))),"")</f>
        <v/>
      </c>
      <c r="AN32" s="1056"/>
      <c r="AO32" s="988" t="str">
        <f>IFERROR(IF(OR(C32="",U32="",R32="",AA32="",AE32="",AI32="",AK32=""),"",BA32),"")</f>
        <v/>
      </c>
      <c r="AP32" s="988"/>
      <c r="AQ32" s="988"/>
      <c r="AR32" s="998" t="str">
        <f>IFERROR(IF(OR(C32="",U32="",R32="",AA32="",AE32="",AI32="",AK32=""),"",IF(BK32&lt;&gt;"",BK32,IF(BP32&gt;0,BP32,ROUND(IF(AO32&lt;=0,0,MIN(AY32,BH32)),2)))),"")</f>
        <v/>
      </c>
      <c r="AS32" s="1045"/>
      <c r="AT32" s="1045"/>
      <c r="AU32" s="999"/>
      <c r="AV32" s="21"/>
      <c r="AY32" s="1061" t="str">
        <f>IF(OR(C32="",U32="",R32="",AA32="",AE32="",AI32="",AK32=""),"",IF(AO32=0,"",ROUND(AI32+AK32,2)))</f>
        <v/>
      </c>
      <c r="AZ32" s="1024" t="str">
        <f>IFERROR(IF(OR(C32="",U32="",R32="",AA32="",AE32="",AI32="",AK32=""),"",INDEX(STDWATER_N[Current Unit],MATCH(C32,STDWATER_N[Measure Name],0))),"Err")</f>
        <v/>
      </c>
      <c r="BA32" s="975" t="str">
        <f>IF(OR(C32="",U32="",R32="",AA32="",AE32="",AI32="",AK32=""),"",ROUND(U32*INDEX(STDWATER_N[Electric Energy Savings (Annual kWh/unit)],MATCH(C32,STDWATER_N[Measure Name],0)),0))</f>
        <v/>
      </c>
      <c r="BB32" s="975" t="str">
        <f>IF(OR(C32="",U32="",R32="",AA32="",AE32="",AI32="",AK32=""),"",ROUND(U32*INDEX(STDWATER_N[Coincident Peak Demand Savings (kW/unit)],MATCH(C32,STDWATER_N[Measure Name],0)),4))</f>
        <v/>
      </c>
      <c r="BC32" s="962"/>
      <c r="BD32" s="962"/>
      <c r="BE32" s="1024" t="str">
        <f>IFERROR(IF(OR(C32="",U32="",R32="",AA32="",AE32="",AI32="",AK32=""),"",INDEX(STDWATER_N[End Use],MATCH(C32,STDWATER_N[Measure Name],0))),"Err")</f>
        <v/>
      </c>
      <c r="BF32" s="962"/>
      <c r="BG32" s="962"/>
      <c r="BH32" s="1042" t="str">
        <f>IFERROR(ROUND(U32*AM32, 2), "")</f>
        <v/>
      </c>
      <c r="BI32" s="1024" t="str">
        <f>IFERROR(IF(OR(C32="",U32="",R32="",AA32="",AE32="",AI32="",AK32="",ISNUMBER(AR32)=FALSE,AR32=0),"",INDEX(STDWATER_N[Measure Number],MATCH(C32,STDWATER_N[Measure Name],0))),"Err")</f>
        <v/>
      </c>
      <c r="BJ32" s="1037" t="str">
        <f>IFERROR(IF(BP32="",IF(AR32 &lt; BH32, "100% Total Cost", ""), ""), "")</f>
        <v/>
      </c>
      <c r="BK32" s="1024" t="str">
        <f>IFERROR(IF(OR(C32="",U32="",AA32="",AE32="",AI32="",AK32=""),"",
IF(EXPIRATION&lt;&gt;"",PROJSTATEXP,"")),"")</f>
        <v/>
      </c>
      <c r="BL32" s="1059" t="str">
        <f>IFERROR(INDEX(STDWATER_N[Measure Life (Years)],MATCH(C32,STDWATER_N[Measure Name],0)),"")</f>
        <v/>
      </c>
      <c r="BM32" s="787" t="str">
        <f>IFERROR(IF(OR(C32="",U32="",R32="",AA32="",AE32="",AI32="",AK32=""),"",
ROUND(((1+ELOSS)*((BA32*INDEX(ELECCB[NPV AEC $/kWh],MATCH(BL32,ELECCB[Year Number],1)))+(BB32*INDEX(ELECCB[NPV ACC $/kW],MATCH(BL32,ELECCB[Year Number],1))))),2)),0)</f>
        <v/>
      </c>
      <c r="BN32" s="1014" t="str">
        <f>IFERROR(IF(BI32="","",INDEX(STDWATER_N[Reporting Methodology],MATCH(C32,STDWATER_N[Measure Name],0))),"Err")</f>
        <v/>
      </c>
      <c r="BO32" s="1063" t="str">
        <f>IFERROR(IF(OR(C32="",U32="",R32="",AA32="",AE32="",AI32="",AK32=""),"",U32*INDEX(STDWATER_N[Incremental Measure Cost ($/Unit)],MATCH(C32,STDWATER_N[Measure Name],0))),"Err")</f>
        <v/>
      </c>
      <c r="BP32" s="787"/>
    </row>
    <row r="33" spans="2:68" ht="15.95" customHeight="1">
      <c r="B33" s="800"/>
      <c r="C33" s="1018"/>
      <c r="D33" s="1018"/>
      <c r="E33" s="1018"/>
      <c r="F33" s="1018"/>
      <c r="G33" s="1018"/>
      <c r="H33" s="1018"/>
      <c r="I33" s="1018"/>
      <c r="J33" s="1018"/>
      <c r="K33" s="1018"/>
      <c r="L33" s="1018"/>
      <c r="M33" s="1018"/>
      <c r="N33" s="1018"/>
      <c r="O33" s="1018"/>
      <c r="P33" s="1018"/>
      <c r="Q33" s="1018"/>
      <c r="R33" s="1020"/>
      <c r="S33" s="1020"/>
      <c r="T33" s="1020"/>
      <c r="U33" s="1022"/>
      <c r="V33" s="1022"/>
      <c r="W33" s="1018"/>
      <c r="X33" s="1018"/>
      <c r="Y33" s="1018"/>
      <c r="Z33" s="1018"/>
      <c r="AA33" s="1018"/>
      <c r="AB33" s="1018"/>
      <c r="AC33" s="1018"/>
      <c r="AD33" s="1018"/>
      <c r="AE33" s="1018"/>
      <c r="AF33" s="1018"/>
      <c r="AG33" s="1018"/>
      <c r="AH33" s="1029"/>
      <c r="AI33" s="1030"/>
      <c r="AJ33" s="980"/>
      <c r="AK33" s="980"/>
      <c r="AL33" s="982"/>
      <c r="AM33" s="1057"/>
      <c r="AN33" s="1058"/>
      <c r="AO33" s="988"/>
      <c r="AP33" s="988"/>
      <c r="AQ33" s="988"/>
      <c r="AR33" s="991"/>
      <c r="AS33" s="1046"/>
      <c r="AT33" s="1046"/>
      <c r="AU33" s="992"/>
      <c r="AV33" s="21"/>
      <c r="AY33" s="1062"/>
      <c r="AZ33" s="1025"/>
      <c r="BA33" s="976"/>
      <c r="BB33" s="976"/>
      <c r="BC33" s="962"/>
      <c r="BD33" s="962"/>
      <c r="BE33" s="1025"/>
      <c r="BF33" s="962"/>
      <c r="BG33" s="962"/>
      <c r="BH33" s="1043"/>
      <c r="BI33" s="1025"/>
      <c r="BJ33" s="1024"/>
      <c r="BK33" s="1025"/>
      <c r="BL33" s="1060"/>
      <c r="BM33" s="788"/>
      <c r="BN33" s="849"/>
      <c r="BO33" s="1064"/>
      <c r="BP33" s="788"/>
    </row>
    <row r="34" spans="2:68" ht="15.95" customHeight="1">
      <c r="B34" s="800">
        <v>9</v>
      </c>
      <c r="C34" s="1018"/>
      <c r="D34" s="1018"/>
      <c r="E34" s="1018"/>
      <c r="F34" s="1018"/>
      <c r="G34" s="1018"/>
      <c r="H34" s="1018"/>
      <c r="I34" s="1018"/>
      <c r="J34" s="1018"/>
      <c r="K34" s="1018"/>
      <c r="L34" s="1018"/>
      <c r="M34" s="1018"/>
      <c r="N34" s="1018"/>
      <c r="O34" s="1018"/>
      <c r="P34" s="1018"/>
      <c r="Q34" s="1018"/>
      <c r="R34" s="1020" t="str">
        <f>IF(C34="","",INDEX(STDWATER_N[Current Unit],MATCH(C34,STDWATER_N[Measure Name],0)))</f>
        <v/>
      </c>
      <c r="S34" s="1020"/>
      <c r="T34" s="1020"/>
      <c r="U34" s="1022"/>
      <c r="V34" s="1022"/>
      <c r="W34" s="1018"/>
      <c r="X34" s="1018"/>
      <c r="Y34" s="1018"/>
      <c r="Z34" s="1018"/>
      <c r="AA34" s="1018"/>
      <c r="AB34" s="1018"/>
      <c r="AC34" s="1018"/>
      <c r="AD34" s="1018"/>
      <c r="AE34" s="1018"/>
      <c r="AF34" s="1018"/>
      <c r="AG34" s="1018"/>
      <c r="AH34" s="1029"/>
      <c r="AI34" s="1030"/>
      <c r="AJ34" s="980"/>
      <c r="AK34" s="980"/>
      <c r="AL34" s="982"/>
      <c r="AM34" s="1055" t="str">
        <f>IFERROR(IF(C34="","",INDEX(IF(AND(ACTIVEBONUS_N = TRUE,INDEX(STDWATER_N[Bonus Incentive],MATCH(C34,STDWATER_N[Measure Name],0))&lt;&gt; ""),STDWATER_N[Bonus Incentive],STDWATER_N[Base Incentive]),MATCH(C34,STDWATER_N[Measure Name],0))),"")</f>
        <v/>
      </c>
      <c r="AN34" s="1056"/>
      <c r="AO34" s="988" t="str">
        <f>IFERROR(IF(OR(C34="",U34="",R34="",AA34="",AE34="",AI34="",AK34=""),"",BA34),"")</f>
        <v/>
      </c>
      <c r="AP34" s="988"/>
      <c r="AQ34" s="988"/>
      <c r="AR34" s="998" t="str">
        <f>IFERROR(IF(OR(C34="",U34="",R34="",AA34="",AE34="",AI34="",AK34=""),"",IF(BK34&lt;&gt;"",BK34,IF(BP34&gt;0,BP34,ROUND(IF(AO34&lt;=0,0,MIN(AY34,BH34)),2)))),"")</f>
        <v/>
      </c>
      <c r="AS34" s="1045"/>
      <c r="AT34" s="1045"/>
      <c r="AU34" s="999"/>
      <c r="AV34" s="21"/>
      <c r="AY34" s="1061" t="str">
        <f>IF(OR(C34="",U34="",R34="",AA34="",AE34="",AI34="",AK34=""),"",IF(AO34=0,"",ROUND(AI34+AK34,2)))</f>
        <v/>
      </c>
      <c r="AZ34" s="1024" t="str">
        <f>IFERROR(IF(OR(C34="",U34="",R34="",AA34="",AE34="",AI34="",AK34=""),"",INDEX(STDWATER_N[Current Unit],MATCH(C34,STDWATER_N[Measure Name],0))),"Err")</f>
        <v/>
      </c>
      <c r="BA34" s="975" t="str">
        <f>IF(OR(C34="",U34="",R34="",AA34="",AE34="",AI34="",AK34=""),"",ROUND(U34*INDEX(STDWATER_N[Electric Energy Savings (Annual kWh/unit)],MATCH(C34,STDWATER_N[Measure Name],0)),0))</f>
        <v/>
      </c>
      <c r="BB34" s="975" t="str">
        <f>IF(OR(C34="",U34="",R34="",AA34="",AE34="",AI34="",AK34=""),"",ROUND(U34*INDEX(STDWATER_N[Coincident Peak Demand Savings (kW/unit)],MATCH(C34,STDWATER_N[Measure Name],0)),4))</f>
        <v/>
      </c>
      <c r="BC34" s="962"/>
      <c r="BD34" s="962"/>
      <c r="BE34" s="1024" t="str">
        <f>IFERROR(IF(OR(C34="",U34="",R34="",AA34="",AE34="",AI34="",AK34=""),"",INDEX(STDWATER_N[End Use],MATCH(C34,STDWATER_N[Measure Name],0))),"Err")</f>
        <v/>
      </c>
      <c r="BF34" s="962"/>
      <c r="BG34" s="962"/>
      <c r="BH34" s="1042" t="str">
        <f>IFERROR(ROUND(U34*AM34, 2), "")</f>
        <v/>
      </c>
      <c r="BI34" s="1024" t="str">
        <f>IFERROR(IF(OR(C34="",U34="",R34="",AA34="",AE34="",AI34="",AK34="",ISNUMBER(AR34)=FALSE,AR34=0),"",INDEX(STDWATER_N[Measure Number],MATCH(C34,STDWATER_N[Measure Name],0))),"Err")</f>
        <v/>
      </c>
      <c r="BJ34" s="1037" t="str">
        <f>IFERROR(IF(BP34="",IF(AR34 &lt; BH34, "100% Total Cost", ""), ""), "")</f>
        <v/>
      </c>
      <c r="BK34" s="1024" t="str">
        <f>IFERROR(IF(OR(C34="",U34="",AA34="",AE34="",AI34="",AK34=""),"",
IF(EXPIRATION&lt;&gt;"",PROJSTATEXP,"")),"")</f>
        <v/>
      </c>
      <c r="BL34" s="1059" t="str">
        <f>IFERROR(INDEX(STDWATER_N[Measure Life (Years)],MATCH(C34,STDWATER_N[Measure Name],0)),"")</f>
        <v/>
      </c>
      <c r="BM34" s="787" t="str">
        <f>IFERROR(IF(OR(C34="",U34="",R34="",AA34="",AE34="",AI34="",AK34=""),"",
ROUND(((1+ELOSS)*((BA34*INDEX(ELECCB[NPV AEC $/kWh],MATCH(BL34,ELECCB[Year Number],1)))+(BB34*INDEX(ELECCB[NPV ACC $/kW],MATCH(BL34,ELECCB[Year Number],1))))),2)),0)</f>
        <v/>
      </c>
      <c r="BN34" s="1014" t="str">
        <f>IFERROR(IF(BI34="","",INDEX(STDWATER_N[Reporting Methodology],MATCH(C34,STDWATER_N[Measure Name],0))),"Err")</f>
        <v/>
      </c>
      <c r="BO34" s="1063" t="str">
        <f>IFERROR(IF(OR(C34="",U34="",R34="",AA34="",AE34="",AI34="",AK34=""),"",U34*INDEX(STDWATER_N[Incremental Measure Cost ($/Unit)],MATCH(C34,STDWATER_N[Measure Name],0))),"Err")</f>
        <v/>
      </c>
      <c r="BP34" s="787"/>
    </row>
    <row r="35" spans="2:68" ht="15.95" customHeight="1">
      <c r="B35" s="800"/>
      <c r="C35" s="1018"/>
      <c r="D35" s="1018"/>
      <c r="E35" s="1018"/>
      <c r="F35" s="1018"/>
      <c r="G35" s="1018"/>
      <c r="H35" s="1018"/>
      <c r="I35" s="1018"/>
      <c r="J35" s="1018"/>
      <c r="K35" s="1018"/>
      <c r="L35" s="1018"/>
      <c r="M35" s="1018"/>
      <c r="N35" s="1018"/>
      <c r="O35" s="1018"/>
      <c r="P35" s="1018"/>
      <c r="Q35" s="1018"/>
      <c r="R35" s="1020"/>
      <c r="S35" s="1020"/>
      <c r="T35" s="1020"/>
      <c r="U35" s="1022"/>
      <c r="V35" s="1022"/>
      <c r="W35" s="1018"/>
      <c r="X35" s="1018"/>
      <c r="Y35" s="1018"/>
      <c r="Z35" s="1018"/>
      <c r="AA35" s="1018"/>
      <c r="AB35" s="1018"/>
      <c r="AC35" s="1018"/>
      <c r="AD35" s="1018"/>
      <c r="AE35" s="1018"/>
      <c r="AF35" s="1018"/>
      <c r="AG35" s="1018"/>
      <c r="AH35" s="1029"/>
      <c r="AI35" s="1030"/>
      <c r="AJ35" s="980"/>
      <c r="AK35" s="980"/>
      <c r="AL35" s="982"/>
      <c r="AM35" s="1057"/>
      <c r="AN35" s="1058"/>
      <c r="AO35" s="988"/>
      <c r="AP35" s="988"/>
      <c r="AQ35" s="988"/>
      <c r="AR35" s="991"/>
      <c r="AS35" s="1046"/>
      <c r="AT35" s="1046"/>
      <c r="AU35" s="992"/>
      <c r="AV35" s="21"/>
      <c r="AY35" s="1062"/>
      <c r="AZ35" s="1025"/>
      <c r="BA35" s="976"/>
      <c r="BB35" s="976"/>
      <c r="BC35" s="962"/>
      <c r="BD35" s="962"/>
      <c r="BE35" s="1025"/>
      <c r="BF35" s="962"/>
      <c r="BG35" s="962"/>
      <c r="BH35" s="1043"/>
      <c r="BI35" s="1025"/>
      <c r="BJ35" s="1024"/>
      <c r="BK35" s="1025"/>
      <c r="BL35" s="1060"/>
      <c r="BM35" s="788"/>
      <c r="BN35" s="849"/>
      <c r="BO35" s="1064"/>
      <c r="BP35" s="788"/>
    </row>
    <row r="36" spans="2:68" ht="15.95" customHeight="1">
      <c r="B36" s="800">
        <v>10</v>
      </c>
      <c r="C36" s="1018"/>
      <c r="D36" s="1018"/>
      <c r="E36" s="1018"/>
      <c r="F36" s="1018"/>
      <c r="G36" s="1018"/>
      <c r="H36" s="1018"/>
      <c r="I36" s="1018"/>
      <c r="J36" s="1018"/>
      <c r="K36" s="1018"/>
      <c r="L36" s="1018"/>
      <c r="M36" s="1018"/>
      <c r="N36" s="1018"/>
      <c r="O36" s="1018"/>
      <c r="P36" s="1018"/>
      <c r="Q36" s="1018"/>
      <c r="R36" s="1020" t="str">
        <f>IF(C36="","",INDEX(STDWATER_N[Current Unit],MATCH(C36,STDWATER_N[Measure Name],0)))</f>
        <v/>
      </c>
      <c r="S36" s="1020"/>
      <c r="T36" s="1020"/>
      <c r="U36" s="1022"/>
      <c r="V36" s="1022"/>
      <c r="W36" s="1018"/>
      <c r="X36" s="1018"/>
      <c r="Y36" s="1018"/>
      <c r="Z36" s="1018"/>
      <c r="AA36" s="1018"/>
      <c r="AB36" s="1018"/>
      <c r="AC36" s="1018"/>
      <c r="AD36" s="1018"/>
      <c r="AE36" s="1018"/>
      <c r="AF36" s="1018"/>
      <c r="AG36" s="1018"/>
      <c r="AH36" s="1029"/>
      <c r="AI36" s="1030"/>
      <c r="AJ36" s="980"/>
      <c r="AK36" s="980"/>
      <c r="AL36" s="982"/>
      <c r="AM36" s="1055" t="str">
        <f>IFERROR(IF(C36="","",INDEX(IF(AND(ACTIVEBONUS_N = TRUE,INDEX(STDWATER_N[Bonus Incentive],MATCH(C36,STDWATER_N[Measure Name],0))&lt;&gt; ""),STDWATER_N[Bonus Incentive],STDWATER_N[Base Incentive]),MATCH(C36,STDWATER_N[Measure Name],0))),"")</f>
        <v/>
      </c>
      <c r="AN36" s="1056"/>
      <c r="AO36" s="988" t="str">
        <f>IFERROR(IF(OR(C36="",U36="",R36="",AA36="",AE36="",AI36="",AK36=""),"",BA36),"")</f>
        <v/>
      </c>
      <c r="AP36" s="988"/>
      <c r="AQ36" s="988"/>
      <c r="AR36" s="998" t="str">
        <f>IFERROR(IF(OR(C36="",U36="",R36="",AA36="",AE36="",AI36="",AK36=""),"",IF(BK36&lt;&gt;"",BK36,IF(BP36&gt;0,BP36,ROUND(IF(AO36&lt;=0,0,MIN(AY36,BH36)),2)))),"")</f>
        <v/>
      </c>
      <c r="AS36" s="1045"/>
      <c r="AT36" s="1045"/>
      <c r="AU36" s="999"/>
      <c r="AV36" s="21"/>
      <c r="AY36" s="1061" t="str">
        <f>IF(OR(C36="",U36="",R36="",AA36="",AE36="",AI36="",AK36=""),"",IF(AO36=0,"",ROUND(AI36+AK36,2)))</f>
        <v/>
      </c>
      <c r="AZ36" s="1024" t="str">
        <f>IFERROR(IF(OR(C36="",U36="",R36="",AA36="",AE36="",AI36="",AK36=""),"",INDEX(STDWATER_N[Current Unit],MATCH(C36,STDWATER_N[Measure Name],0))),"Err")</f>
        <v/>
      </c>
      <c r="BA36" s="975" t="str">
        <f>IF(OR(C36="",U36="",R36="",AA36="",AE36="",AI36="",AK36=""),"",ROUND(U36*INDEX(STDWATER_N[Electric Energy Savings (Annual kWh/unit)],MATCH(C36,STDWATER_N[Measure Name],0)),0))</f>
        <v/>
      </c>
      <c r="BB36" s="975" t="str">
        <f>IF(OR(C36="",U36="",R36="",AA36="",AE36="",AI36="",AK36=""),"",ROUND(U36*INDEX(STDWATER_N[Coincident Peak Demand Savings (kW/unit)],MATCH(C36,STDWATER_N[Measure Name],0)),4))</f>
        <v/>
      </c>
      <c r="BC36" s="962"/>
      <c r="BD36" s="962"/>
      <c r="BE36" s="1024" t="str">
        <f>IFERROR(IF(OR(C36="",U36="",R36="",AA36="",AE36="",AI36="",AK36=""),"",INDEX(STDWATER_N[End Use],MATCH(C36,STDWATER_N[Measure Name],0))),"Err")</f>
        <v/>
      </c>
      <c r="BF36" s="962"/>
      <c r="BG36" s="962"/>
      <c r="BH36" s="1042" t="str">
        <f>IFERROR(ROUND(U36*AM36, 2), "")</f>
        <v/>
      </c>
      <c r="BI36" s="1024" t="str">
        <f>IFERROR(IF(OR(C36="",U36="",R36="",AA36="",AE36="",AI36="",AK36="",ISNUMBER(AR36)=FALSE,AR36=0),"",INDEX(STDWATER_N[Measure Number],MATCH(C36,STDWATER_N[Measure Name],0))),"Err")</f>
        <v/>
      </c>
      <c r="BJ36" s="1037" t="str">
        <f>IFERROR(IF(BP36="",IF(AR36 &lt; BH36, "100% Total Cost", ""), ""), "")</f>
        <v/>
      </c>
      <c r="BK36" s="1024" t="str">
        <f>IFERROR(IF(OR(C36="",U36="",AA36="",AE36="",AI36="",AK36=""),"",
IF(EXPIRATION&lt;&gt;"",PROJSTATEXP,"")),"")</f>
        <v/>
      </c>
      <c r="BL36" s="1059" t="str">
        <f>IFERROR(INDEX(STDWATER_N[Measure Life (Years)],MATCH(C36,STDWATER_N[Measure Name],0)),"")</f>
        <v/>
      </c>
      <c r="BM36" s="787" t="str">
        <f>IFERROR(IF(OR(C36="",U36="",R36="",AA36="",AE36="",AI36="",AK36=""),"",
ROUND(((1+ELOSS)*((BA36*INDEX(ELECCB[NPV AEC $/kWh],MATCH(BL36,ELECCB[Year Number],1)))+(BB36*INDEX(ELECCB[NPV ACC $/kW],MATCH(BL36,ELECCB[Year Number],1))))),2)),0)</f>
        <v/>
      </c>
      <c r="BN36" s="1014" t="str">
        <f>IFERROR(IF(BI36="","",INDEX(STDWATER_N[Reporting Methodology],MATCH(C36,STDWATER_N[Measure Name],0))),"Err")</f>
        <v/>
      </c>
      <c r="BO36" s="1063" t="str">
        <f>IFERROR(IF(OR(C36="",U36="",R36="",AA36="",AE36="",AI36="",AK36=""),"",U36*INDEX(STDWATER_N[Incremental Measure Cost ($/Unit)],MATCH(C36,STDWATER_N[Measure Name],0))),"Err")</f>
        <v/>
      </c>
      <c r="BP36" s="787"/>
    </row>
    <row r="37" spans="2:68" ht="15.95" customHeight="1">
      <c r="B37" s="800"/>
      <c r="C37" s="1018"/>
      <c r="D37" s="1018"/>
      <c r="E37" s="1018"/>
      <c r="F37" s="1018"/>
      <c r="G37" s="1018"/>
      <c r="H37" s="1018"/>
      <c r="I37" s="1018"/>
      <c r="J37" s="1018"/>
      <c r="K37" s="1018"/>
      <c r="L37" s="1018"/>
      <c r="M37" s="1018"/>
      <c r="N37" s="1018"/>
      <c r="O37" s="1018"/>
      <c r="P37" s="1018"/>
      <c r="Q37" s="1018"/>
      <c r="R37" s="1020"/>
      <c r="S37" s="1020"/>
      <c r="T37" s="1020"/>
      <c r="U37" s="1022"/>
      <c r="V37" s="1022"/>
      <c r="W37" s="1018"/>
      <c r="X37" s="1018"/>
      <c r="Y37" s="1018"/>
      <c r="Z37" s="1018"/>
      <c r="AA37" s="1018"/>
      <c r="AB37" s="1018"/>
      <c r="AC37" s="1018"/>
      <c r="AD37" s="1018"/>
      <c r="AE37" s="1018"/>
      <c r="AF37" s="1018"/>
      <c r="AG37" s="1018"/>
      <c r="AH37" s="1029"/>
      <c r="AI37" s="1030"/>
      <c r="AJ37" s="980"/>
      <c r="AK37" s="980"/>
      <c r="AL37" s="982"/>
      <c r="AM37" s="1057"/>
      <c r="AN37" s="1058"/>
      <c r="AO37" s="988"/>
      <c r="AP37" s="988"/>
      <c r="AQ37" s="988"/>
      <c r="AR37" s="991"/>
      <c r="AS37" s="1046"/>
      <c r="AT37" s="1046"/>
      <c r="AU37" s="992"/>
      <c r="AV37" s="21"/>
      <c r="AY37" s="1062"/>
      <c r="AZ37" s="1025"/>
      <c r="BA37" s="976"/>
      <c r="BB37" s="976"/>
      <c r="BC37" s="962"/>
      <c r="BD37" s="962"/>
      <c r="BE37" s="1025"/>
      <c r="BF37" s="962"/>
      <c r="BG37" s="962"/>
      <c r="BH37" s="1043"/>
      <c r="BI37" s="1025"/>
      <c r="BJ37" s="1024"/>
      <c r="BK37" s="1025"/>
      <c r="BL37" s="1060"/>
      <c r="BM37" s="788"/>
      <c r="BN37" s="849"/>
      <c r="BO37" s="1064"/>
      <c r="BP37" s="788"/>
    </row>
    <row r="38" spans="2:68" ht="15.95" customHeight="1">
      <c r="AY38" s="220"/>
      <c r="BA38" s="443"/>
    </row>
    <row r="39" spans="2:68" ht="15.95" hidden="1" customHeight="1">
      <c r="AY39" s="220"/>
      <c r="BA39" s="443"/>
    </row>
    <row r="40" spans="2:68" ht="15.95" hidden="1" customHeight="1">
      <c r="AY40" s="220"/>
      <c r="BA40" s="443"/>
    </row>
    <row r="41" spans="2:68" ht="15.95" hidden="1" customHeight="1">
      <c r="AY41" s="220"/>
      <c r="BA41" s="443"/>
    </row>
    <row r="42" spans="2:68" ht="15.95" hidden="1" customHeight="1">
      <c r="AY42" s="220"/>
      <c r="BA42" s="443"/>
    </row>
    <row r="43" spans="2:68" ht="15.95" hidden="1" customHeight="1">
      <c r="AY43" s="220"/>
      <c r="BA43" s="443"/>
    </row>
    <row r="44" spans="2:68" ht="15.95" hidden="1" customHeight="1">
      <c r="AY44" s="220"/>
      <c r="BA44" s="443"/>
    </row>
    <row r="45" spans="2:68" ht="15.95" hidden="1" customHeight="1">
      <c r="AY45" s="220"/>
      <c r="BA45" s="443"/>
    </row>
    <row r="46" spans="2:68" ht="15.95" hidden="1" customHeight="1">
      <c r="AY46" s="220"/>
      <c r="BA46" s="443"/>
    </row>
    <row r="47" spans="2:68" ht="15.95" hidden="1" customHeight="1">
      <c r="AY47" s="220"/>
      <c r="BA47" s="443"/>
    </row>
    <row r="48" spans="2:68" ht="15.95" hidden="1" customHeight="1">
      <c r="BA48" s="443"/>
      <c r="BB48" s="31"/>
    </row>
    <row r="49" spans="53:54" ht="15.95" hidden="1" customHeight="1">
      <c r="BA49" s="443"/>
      <c r="BB49" s="31"/>
    </row>
    <row r="50" spans="53:54" ht="15.95" hidden="1" customHeight="1">
      <c r="BA50" s="443"/>
      <c r="BB50" s="31"/>
    </row>
    <row r="51" spans="53:54" ht="15.95" hidden="1" customHeight="1">
      <c r="BA51" s="443"/>
      <c r="BB51" s="31"/>
    </row>
    <row r="52" spans="53:54" ht="15.95" hidden="1" customHeight="1">
      <c r="BA52" s="443"/>
      <c r="BB52" s="31"/>
    </row>
    <row r="53" spans="53:54" ht="15.95" hidden="1" customHeight="1">
      <c r="BA53" s="443"/>
      <c r="BB53" s="31"/>
    </row>
    <row r="54" spans="53:54" ht="15.95" hidden="1" customHeight="1">
      <c r="BA54" s="443"/>
      <c r="BB54" s="31"/>
    </row>
    <row r="55" spans="53:54" ht="15.95" hidden="1" customHeight="1">
      <c r="BA55" s="443"/>
      <c r="BB55" s="31"/>
    </row>
    <row r="56" spans="53:54" ht="15.95" hidden="1" customHeight="1">
      <c r="BA56" s="443"/>
      <c r="BB56" s="31"/>
    </row>
    <row r="57" spans="53:54" ht="15.95" hidden="1" customHeight="1">
      <c r="BA57" s="443"/>
      <c r="BB57" s="31"/>
    </row>
    <row r="58" spans="53:54" ht="15.95" hidden="1" customHeight="1">
      <c r="BA58" s="443"/>
      <c r="BB58" s="31"/>
    </row>
    <row r="59" spans="53:54" ht="15.95" hidden="1" customHeight="1">
      <c r="BA59" s="443"/>
      <c r="BB59" s="31"/>
    </row>
    <row r="60" spans="53:54" ht="15.95" hidden="1" customHeight="1">
      <c r="BA60" s="443"/>
      <c r="BB60" s="31"/>
    </row>
    <row r="61" spans="53:54" ht="15.95" hidden="1" customHeight="1">
      <c r="BA61" s="443"/>
      <c r="BB61" s="31"/>
    </row>
    <row r="62" spans="53:54" ht="15.95" hidden="1" customHeight="1">
      <c r="BA62" s="443"/>
      <c r="BB62" s="31"/>
    </row>
    <row r="63" spans="53:54" ht="15.95" hidden="1" customHeight="1">
      <c r="BA63" s="443"/>
      <c r="BB63" s="31"/>
    </row>
    <row r="64" spans="53:54" ht="15.95" hidden="1" customHeight="1">
      <c r="BA64" s="443"/>
      <c r="BB64" s="31"/>
    </row>
    <row r="65" spans="53:54" ht="15.95" hidden="1" customHeight="1">
      <c r="BA65" s="443"/>
      <c r="BB65" s="31"/>
    </row>
    <row r="66" spans="53:54" ht="15.95" hidden="1" customHeight="1">
      <c r="BA66" s="443"/>
      <c r="BB66" s="31"/>
    </row>
    <row r="67" spans="53:54" ht="15.95" hidden="1" customHeight="1">
      <c r="BA67" s="443"/>
      <c r="BB67" s="31"/>
    </row>
    <row r="68" spans="53:54" ht="15.95" hidden="1" customHeight="1">
      <c r="BA68" s="443"/>
      <c r="BB68" s="31"/>
    </row>
    <row r="69" spans="53:54" ht="15.95" hidden="1" customHeight="1">
      <c r="BA69" s="443"/>
      <c r="BB69" s="31"/>
    </row>
    <row r="70" spans="53:54" ht="15.95" hidden="1" customHeight="1">
      <c r="BA70" s="443"/>
      <c r="BB70" s="31"/>
    </row>
    <row r="71" spans="53:54" ht="15.95" hidden="1" customHeight="1">
      <c r="BA71" s="443"/>
      <c r="BB71" s="31"/>
    </row>
    <row r="72" spans="53:54" ht="15.95" hidden="1" customHeight="1">
      <c r="BA72" s="443"/>
      <c r="BB72" s="31"/>
    </row>
    <row r="73" spans="53:54" ht="15.95" hidden="1" customHeight="1">
      <c r="BA73" s="443"/>
      <c r="BB73" s="31"/>
    </row>
    <row r="74" spans="53:54" ht="15.95" hidden="1" customHeight="1">
      <c r="BA74" s="443"/>
      <c r="BB74" s="31"/>
    </row>
    <row r="75" spans="53:54" ht="15.95" hidden="1" customHeight="1">
      <c r="BA75" s="443"/>
      <c r="BB75" s="31"/>
    </row>
    <row r="76" spans="53:54" ht="15.95" hidden="1" customHeight="1">
      <c r="BA76" s="443"/>
      <c r="BB76" s="31"/>
    </row>
    <row r="77" spans="53:54" ht="15.95" hidden="1" customHeight="1">
      <c r="BA77" s="443"/>
      <c r="BB77" s="31"/>
    </row>
    <row r="78" spans="53:54" ht="15.95" hidden="1" customHeight="1">
      <c r="BA78" s="443"/>
      <c r="BB78" s="31"/>
    </row>
    <row r="79" spans="53:54" ht="15.95" hidden="1" customHeight="1">
      <c r="BA79" s="443"/>
      <c r="BB79" s="31"/>
    </row>
    <row r="80" spans="53:54" ht="15.95" hidden="1" customHeight="1">
      <c r="BA80" s="443"/>
      <c r="BB80" s="31"/>
    </row>
    <row r="81" spans="53:54" ht="15.95" hidden="1" customHeight="1">
      <c r="BA81" s="443"/>
      <c r="BB81" s="31"/>
    </row>
    <row r="82" spans="53:54" ht="15.95" hidden="1" customHeight="1">
      <c r="BA82" s="443"/>
      <c r="BB82" s="31"/>
    </row>
    <row r="83" spans="53:54" ht="15.95" hidden="1" customHeight="1">
      <c r="BA83" s="443"/>
      <c r="BB83" s="31"/>
    </row>
    <row r="84" spans="53:54" ht="15.95" hidden="1" customHeight="1">
      <c r="BA84" s="443"/>
      <c r="BB84" s="31"/>
    </row>
    <row r="85" spans="53:54" ht="15.95" hidden="1" customHeight="1">
      <c r="BA85" s="443"/>
      <c r="BB85" s="31"/>
    </row>
    <row r="86" spans="53:54" ht="15.95" hidden="1" customHeight="1">
      <c r="BA86" s="443"/>
      <c r="BB86" s="31"/>
    </row>
    <row r="87" spans="53:54" ht="15.95" hidden="1" customHeight="1">
      <c r="BA87" s="443"/>
      <c r="BB87" s="31"/>
    </row>
    <row r="88" spans="53:54" ht="15.95" hidden="1" customHeight="1">
      <c r="BA88" s="443"/>
      <c r="BB88" s="31"/>
    </row>
    <row r="89" spans="53:54" ht="15.95" hidden="1" customHeight="1">
      <c r="BA89" s="443"/>
      <c r="BB89" s="31"/>
    </row>
    <row r="90" spans="53:54" ht="15.95" hidden="1" customHeight="1">
      <c r="BA90" s="443"/>
      <c r="BB90" s="31"/>
    </row>
    <row r="91" spans="53:54" ht="15.95" hidden="1" customHeight="1">
      <c r="BA91" s="443"/>
      <c r="BB91" s="31"/>
    </row>
    <row r="92" spans="53:54" ht="15.95" hidden="1" customHeight="1">
      <c r="BA92" s="443"/>
      <c r="BB92" s="31"/>
    </row>
    <row r="93" spans="53:54" ht="15.95" hidden="1" customHeight="1">
      <c r="BA93" s="443"/>
      <c r="BB93" s="31"/>
    </row>
    <row r="94" spans="53:54" ht="15.95" hidden="1" customHeight="1">
      <c r="BA94" s="443"/>
      <c r="BB94" s="31"/>
    </row>
    <row r="95" spans="53:54" ht="15.95" hidden="1" customHeight="1">
      <c r="BA95" s="443"/>
      <c r="BB95" s="31"/>
    </row>
    <row r="96" spans="53:54" ht="15.95" hidden="1" customHeight="1">
      <c r="BA96" s="443"/>
      <c r="BB96" s="31"/>
    </row>
    <row r="97" spans="53:54" ht="15.95" hidden="1" customHeight="1">
      <c r="BA97" s="443"/>
      <c r="BB97" s="31"/>
    </row>
    <row r="98" spans="53:54" ht="15.95" hidden="1" customHeight="1">
      <c r="BA98" s="443"/>
      <c r="BB98" s="31"/>
    </row>
    <row r="99" spans="53:54" ht="15.95" hidden="1" customHeight="1">
      <c r="BA99" s="443"/>
      <c r="BB99" s="31"/>
    </row>
    <row r="100" spans="53:54" ht="15.95" hidden="1" customHeight="1">
      <c r="BA100" s="443"/>
      <c r="BB100" s="31"/>
    </row>
    <row r="101" spans="53:54" ht="15.95" hidden="1" customHeight="1">
      <c r="BA101" s="443"/>
      <c r="BB101" s="31"/>
    </row>
    <row r="102" spans="53:54" ht="15.95" hidden="1" customHeight="1">
      <c r="BA102" s="443"/>
      <c r="BB102" s="31"/>
    </row>
    <row r="103" spans="53:54" ht="15.95" hidden="1" customHeight="1">
      <c r="BA103" s="443"/>
      <c r="BB103" s="31"/>
    </row>
    <row r="104" spans="53:54" ht="15.95" hidden="1" customHeight="1">
      <c r="BA104" s="443"/>
      <c r="BB104" s="31"/>
    </row>
    <row r="105" spans="53:54" ht="15.95" hidden="1" customHeight="1">
      <c r="BA105" s="443"/>
      <c r="BB105" s="31"/>
    </row>
    <row r="106" spans="53:54" ht="15.95" hidden="1" customHeight="1">
      <c r="BA106" s="443"/>
      <c r="BB106" s="31"/>
    </row>
    <row r="107" spans="53:54" ht="15.95" hidden="1" customHeight="1">
      <c r="BA107" s="443"/>
      <c r="BB107" s="31"/>
    </row>
    <row r="108" spans="53:54" ht="15.95" hidden="1" customHeight="1">
      <c r="BA108" s="443"/>
      <c r="BB108" s="31"/>
    </row>
    <row r="109" spans="53:54" ht="15.95" hidden="1" customHeight="1">
      <c r="BA109" s="443"/>
      <c r="BB109" s="31"/>
    </row>
    <row r="110" spans="53:54" ht="15.95" hidden="1" customHeight="1">
      <c r="BA110" s="443"/>
      <c r="BB110" s="31"/>
    </row>
    <row r="111" spans="53:54" ht="15.95" hidden="1" customHeight="1">
      <c r="BA111" s="443"/>
      <c r="BB111" s="31"/>
    </row>
    <row r="112" spans="53:54" ht="15.95" hidden="1" customHeight="1">
      <c r="BA112" s="443"/>
      <c r="BB112" s="31"/>
    </row>
    <row r="113" spans="53:54" ht="15.95" hidden="1" customHeight="1">
      <c r="BA113" s="443"/>
      <c r="BB113" s="31"/>
    </row>
    <row r="114" spans="53:54" ht="15.95" hidden="1" customHeight="1">
      <c r="BA114" s="443"/>
      <c r="BB114" s="31"/>
    </row>
    <row r="115" spans="53:54" ht="15.95" hidden="1" customHeight="1">
      <c r="BA115" s="443"/>
      <c r="BB115" s="31"/>
    </row>
    <row r="116" spans="53:54" ht="15.95" hidden="1" customHeight="1">
      <c r="BA116" s="443"/>
      <c r="BB116" s="31"/>
    </row>
    <row r="117" spans="53:54" ht="15.95" hidden="1" customHeight="1">
      <c r="BA117" s="443"/>
      <c r="BB117" s="31"/>
    </row>
    <row r="118" spans="53:54" ht="15.95" hidden="1" customHeight="1">
      <c r="BA118" s="443"/>
      <c r="BB118" s="31"/>
    </row>
    <row r="119" spans="53:54" ht="15.95" hidden="1" customHeight="1">
      <c r="BA119" s="443"/>
      <c r="BB119" s="31"/>
    </row>
    <row r="120" spans="53:54" ht="15.95" hidden="1" customHeight="1">
      <c r="BA120" s="443"/>
      <c r="BB120" s="31"/>
    </row>
    <row r="121" spans="53:54" ht="15.95" hidden="1" customHeight="1">
      <c r="BA121" s="443"/>
      <c r="BB121" s="31"/>
    </row>
    <row r="122" spans="53:54" ht="15.95" hidden="1" customHeight="1">
      <c r="BA122" s="443"/>
      <c r="BB122" s="31"/>
    </row>
    <row r="123" spans="53:54" ht="15.95" hidden="1" customHeight="1">
      <c r="BA123" s="443"/>
      <c r="BB123" s="31"/>
    </row>
    <row r="124" spans="53:54" ht="15.95" hidden="1" customHeight="1">
      <c r="BA124" s="443"/>
      <c r="BB124" s="31"/>
    </row>
    <row r="125" spans="53:54" ht="15.95" hidden="1" customHeight="1">
      <c r="BA125" s="443"/>
      <c r="BB125" s="31"/>
    </row>
    <row r="126" spans="53:54" ht="15.95" hidden="1" customHeight="1">
      <c r="BA126" s="443"/>
      <c r="BB126" s="31"/>
    </row>
    <row r="127" spans="53:54" ht="15.95" hidden="1" customHeight="1">
      <c r="BA127" s="443"/>
      <c r="BB127" s="31"/>
    </row>
    <row r="128" spans="53:54" ht="15.95" hidden="1" customHeight="1">
      <c r="BA128" s="443"/>
      <c r="BB128" s="31"/>
    </row>
    <row r="129" spans="53:54" ht="15.95" hidden="1" customHeight="1">
      <c r="BA129" s="443"/>
      <c r="BB129" s="31"/>
    </row>
    <row r="130" spans="53:54" ht="15.95" hidden="1" customHeight="1">
      <c r="BA130" s="443"/>
      <c r="BB130" s="31"/>
    </row>
    <row r="131" spans="53:54" ht="15.95" hidden="1" customHeight="1">
      <c r="BA131" s="443"/>
      <c r="BB131" s="31"/>
    </row>
    <row r="132" spans="53:54" ht="15.95" hidden="1" customHeight="1">
      <c r="BA132" s="443"/>
      <c r="BB132" s="31"/>
    </row>
    <row r="133" spans="53:54" ht="15.95" hidden="1" customHeight="1">
      <c r="BA133" s="443"/>
      <c r="BB133" s="31"/>
    </row>
    <row r="134" spans="53:54" ht="15.95" hidden="1" customHeight="1">
      <c r="BA134" s="443"/>
      <c r="BB134" s="31"/>
    </row>
    <row r="135" spans="53:54" ht="15.95" hidden="1" customHeight="1">
      <c r="BA135" s="443"/>
      <c r="BB135" s="31"/>
    </row>
    <row r="136" spans="53:54" ht="15.95" hidden="1" customHeight="1">
      <c r="BA136" s="443"/>
      <c r="BB136" s="31"/>
    </row>
    <row r="137" spans="53:54" ht="15.95" hidden="1" customHeight="1">
      <c r="BA137" s="443"/>
      <c r="BB137" s="31"/>
    </row>
    <row r="138" spans="53:54" ht="15.95" hidden="1" customHeight="1">
      <c r="BA138" s="443"/>
      <c r="BB138" s="31"/>
    </row>
    <row r="139" spans="53:54" ht="15.95" hidden="1" customHeight="1">
      <c r="BA139" s="443"/>
      <c r="BB139" s="31"/>
    </row>
    <row r="140" spans="53:54" ht="15.95" hidden="1" customHeight="1">
      <c r="BA140" s="443"/>
      <c r="BB140" s="31"/>
    </row>
    <row r="141" spans="53:54" ht="15.95" hidden="1" customHeight="1">
      <c r="BA141" s="443"/>
      <c r="BB141" s="31"/>
    </row>
    <row r="142" spans="53:54" ht="15.95" hidden="1" customHeight="1">
      <c r="BA142" s="443"/>
      <c r="BB142" s="31"/>
    </row>
    <row r="143" spans="53:54" ht="15.95" hidden="1" customHeight="1">
      <c r="BA143" s="443"/>
      <c r="BB143" s="31"/>
    </row>
    <row r="144" spans="53:54" ht="15.95" hidden="1" customHeight="1">
      <c r="BA144" s="443"/>
      <c r="BB144" s="31"/>
    </row>
    <row r="145" spans="53:54" ht="15.95" hidden="1" customHeight="1">
      <c r="BA145" s="443"/>
      <c r="BB145" s="31"/>
    </row>
    <row r="146" spans="53:54" ht="15.95" hidden="1" customHeight="1">
      <c r="BA146" s="443"/>
      <c r="BB146" s="31"/>
    </row>
    <row r="147" spans="53:54" ht="15.95" hidden="1" customHeight="1">
      <c r="BA147" s="443"/>
      <c r="BB147" s="31"/>
    </row>
    <row r="148" spans="53:54" ht="15.95" hidden="1" customHeight="1">
      <c r="BA148" s="443"/>
      <c r="BB148" s="31"/>
    </row>
    <row r="149" spans="53:54" ht="15.95" hidden="1" customHeight="1">
      <c r="BA149" s="443"/>
      <c r="BB149" s="31"/>
    </row>
    <row r="150" spans="53:54" ht="15.95" hidden="1" customHeight="1">
      <c r="BA150" s="443"/>
      <c r="BB150" s="31"/>
    </row>
    <row r="151" spans="53:54" ht="15.95" hidden="1" customHeight="1">
      <c r="BA151" s="443"/>
      <c r="BB151" s="31"/>
    </row>
    <row r="152" spans="53:54" ht="15.95" hidden="1" customHeight="1">
      <c r="BA152" s="443"/>
      <c r="BB152" s="31"/>
    </row>
    <row r="153" spans="53:54" ht="15.95" hidden="1" customHeight="1">
      <c r="BA153" s="443"/>
      <c r="BB153" s="31"/>
    </row>
    <row r="154" spans="53:54" ht="15.95" hidden="1" customHeight="1">
      <c r="BA154" s="443"/>
      <c r="BB154" s="31"/>
    </row>
    <row r="155" spans="53:54" ht="15.95" hidden="1" customHeight="1">
      <c r="BA155" s="443"/>
      <c r="BB155" s="31"/>
    </row>
    <row r="156" spans="53:54" ht="15.95" hidden="1" customHeight="1">
      <c r="BA156" s="443"/>
      <c r="BB156" s="31"/>
    </row>
    <row r="157" spans="53:54" ht="15.95" hidden="1" customHeight="1">
      <c r="BA157" s="443"/>
      <c r="BB157" s="31"/>
    </row>
    <row r="158" spans="53:54" ht="15.95" hidden="1" customHeight="1">
      <c r="BA158" s="443"/>
      <c r="BB158" s="31"/>
    </row>
    <row r="159" spans="53:54" ht="15.95" hidden="1" customHeight="1">
      <c r="BA159" s="443"/>
      <c r="BB159" s="31"/>
    </row>
    <row r="160" spans="53:54" ht="15.95" hidden="1" customHeight="1">
      <c r="BA160" s="443"/>
      <c r="BB160" s="31"/>
    </row>
    <row r="161" spans="53:54" ht="15.95" hidden="1" customHeight="1">
      <c r="BA161" s="443"/>
      <c r="BB161" s="31"/>
    </row>
    <row r="162" spans="53:54" ht="15.95" hidden="1" customHeight="1">
      <c r="BA162" s="443"/>
      <c r="BB162" s="31"/>
    </row>
    <row r="163" spans="53:54" ht="15.95" hidden="1" customHeight="1">
      <c r="BA163" s="443"/>
      <c r="BB163" s="31"/>
    </row>
    <row r="164" spans="53:54" ht="15.95" hidden="1" customHeight="1">
      <c r="BA164" s="443"/>
      <c r="BB164" s="31"/>
    </row>
    <row r="165" spans="53:54" ht="15.95" hidden="1" customHeight="1">
      <c r="BA165" s="443"/>
      <c r="BB165" s="31"/>
    </row>
    <row r="166" spans="53:54" ht="15.95" hidden="1" customHeight="1">
      <c r="BA166" s="443"/>
      <c r="BB166" s="31"/>
    </row>
    <row r="167" spans="53:54" ht="15.95" hidden="1" customHeight="1">
      <c r="BA167" s="443"/>
      <c r="BB167" s="31"/>
    </row>
    <row r="168" spans="53:54" ht="15.95" hidden="1" customHeight="1">
      <c r="BA168" s="443"/>
      <c r="BB168" s="31"/>
    </row>
    <row r="169" spans="53:54" ht="15.95" hidden="1" customHeight="1">
      <c r="BA169" s="443"/>
      <c r="BB169" s="31"/>
    </row>
    <row r="170" spans="53:54" ht="15.95" hidden="1" customHeight="1">
      <c r="BA170" s="443"/>
      <c r="BB170" s="31"/>
    </row>
    <row r="171" spans="53:54" ht="15.95" hidden="1" customHeight="1">
      <c r="BA171" s="443"/>
      <c r="BB171" s="31"/>
    </row>
    <row r="172" spans="53:54" ht="15.95" hidden="1" customHeight="1">
      <c r="BA172" s="443"/>
      <c r="BB172" s="31"/>
    </row>
    <row r="173" spans="53:54" ht="15.95" hidden="1" customHeight="1">
      <c r="BA173" s="443"/>
      <c r="BB173" s="31"/>
    </row>
    <row r="174" spans="53:54" ht="15.95" hidden="1" customHeight="1">
      <c r="BA174" s="443"/>
      <c r="BB174" s="31"/>
    </row>
    <row r="175" spans="53:54" ht="15.95" hidden="1" customHeight="1">
      <c r="BA175" s="443"/>
      <c r="BB175" s="31"/>
    </row>
    <row r="176" spans="53:54" ht="15.95" hidden="1" customHeight="1">
      <c r="BA176" s="443"/>
      <c r="BB176" s="31"/>
    </row>
    <row r="177" spans="53:54" ht="15.95" hidden="1" customHeight="1">
      <c r="BA177" s="443"/>
      <c r="BB177" s="31"/>
    </row>
    <row r="178" spans="53:54" ht="15.95" hidden="1" customHeight="1">
      <c r="BA178" s="443"/>
      <c r="BB178" s="31"/>
    </row>
    <row r="179" spans="53:54" ht="15.95" hidden="1" customHeight="1">
      <c r="BA179" s="443"/>
      <c r="BB179" s="31"/>
    </row>
    <row r="180" spans="53:54" ht="15.95" hidden="1" customHeight="1">
      <c r="BA180" s="443"/>
      <c r="BB180" s="31"/>
    </row>
    <row r="181" spans="53:54" ht="15.95" hidden="1" customHeight="1">
      <c r="BA181" s="443"/>
      <c r="BB181" s="31"/>
    </row>
    <row r="182" spans="53:54" ht="15.95" hidden="1" customHeight="1">
      <c r="BA182" s="443"/>
      <c r="BB182" s="31"/>
    </row>
    <row r="183" spans="53:54" ht="15.95" hidden="1" customHeight="1">
      <c r="BA183" s="443"/>
      <c r="BB183" s="31"/>
    </row>
    <row r="184" spans="53:54" ht="15.95" hidden="1" customHeight="1">
      <c r="BA184" s="443"/>
      <c r="BB184" s="31"/>
    </row>
    <row r="185" spans="53:54" ht="15.95" hidden="1" customHeight="1">
      <c r="BA185" s="443"/>
      <c r="BB185" s="31"/>
    </row>
    <row r="186" spans="53:54" ht="15.95" hidden="1" customHeight="1">
      <c r="BA186" s="443"/>
      <c r="BB186" s="31"/>
    </row>
    <row r="187" spans="53:54" ht="15.95" hidden="1" customHeight="1">
      <c r="BA187" s="443"/>
      <c r="BB187" s="31"/>
    </row>
    <row r="188" spans="53:54" ht="15.95" hidden="1" customHeight="1">
      <c r="BA188" s="443"/>
      <c r="BB188" s="31"/>
    </row>
    <row r="189" spans="53:54" ht="15.95" hidden="1" customHeight="1">
      <c r="BA189" s="443"/>
      <c r="BB189" s="31"/>
    </row>
    <row r="190" spans="53:54" ht="15.95" hidden="1" customHeight="1">
      <c r="BA190" s="443"/>
      <c r="BB190" s="31"/>
    </row>
    <row r="191" spans="53:54" ht="15.95" hidden="1" customHeight="1">
      <c r="BA191" s="443"/>
      <c r="BB191" s="31"/>
    </row>
    <row r="192" spans="53:54" ht="15.95" hidden="1" customHeight="1">
      <c r="BA192" s="443"/>
      <c r="BB192" s="31"/>
    </row>
    <row r="193" spans="1:54" ht="15.95" hidden="1" customHeight="1">
      <c r="BA193" s="443"/>
      <c r="BB193" s="31"/>
    </row>
    <row r="194" spans="1:54" ht="15.95" hidden="1" customHeight="1">
      <c r="BA194" s="443"/>
      <c r="BB194" s="31"/>
    </row>
    <row r="195" spans="1:54" ht="15.95" hidden="1" customHeight="1">
      <c r="BA195" s="443"/>
      <c r="BB195" s="31"/>
    </row>
    <row r="196" spans="1:54" ht="15.95" hidden="1" customHeight="1">
      <c r="BA196" s="443"/>
      <c r="BB196" s="31"/>
    </row>
    <row r="197" spans="1:54" ht="15.95" hidden="1" customHeight="1">
      <c r="BA197" s="443"/>
      <c r="BB197" s="31"/>
    </row>
    <row r="198" spans="1:54" ht="15.95" hidden="1" customHeight="1">
      <c r="BA198" s="443"/>
      <c r="BB198" s="31"/>
    </row>
    <row r="199" spans="1:54" ht="15.95" hidden="1" customHeight="1">
      <c r="BA199" s="443"/>
      <c r="BB199" s="31"/>
    </row>
    <row r="200" spans="1:54"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c r="AY200" s="1002">
        <f>SUM(AY38:AY199)</f>
        <v>0</v>
      </c>
      <c r="BA200" s="966">
        <f>SUM(BA38:BA199)</f>
        <v>0</v>
      </c>
      <c r="BB200" s="1003">
        <f>SUM(BB38:BB199)</f>
        <v>0</v>
      </c>
    </row>
    <row r="201" spans="1:54"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c r="AY201" s="1002"/>
      <c r="BA201" s="966"/>
      <c r="BB201" s="1003"/>
    </row>
    <row r="202" spans="1:54"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54" ht="15.95" hidden="1" customHeight="1"/>
    <row r="204" spans="1:54" ht="15.95" hidden="1" customHeight="1"/>
  </sheetData>
  <sheetProtection algorithmName="SHA-512" hashValue="pHmejP0KJxh0iQy0L7R3CiljQUx6LS1IpAnVLhG+gAL2EuhJkpI9D42ky4HqU1vt7m8CxCXf6u2h36P4MkOC1Q==" saltValue="hMkVpOzlZuLhBiPiWvSNiA==" spinCount="100000" sheet="1" objects="1" scenarios="1" selectLockedCells="1"/>
  <mergeCells count="354">
    <mergeCell ref="W20:Z21"/>
    <mergeCell ref="W22:Z23"/>
    <mergeCell ref="W24:Z25"/>
    <mergeCell ref="W26:Z27"/>
    <mergeCell ref="W28:Z29"/>
    <mergeCell ref="W30:Z31"/>
    <mergeCell ref="W32:Z33"/>
    <mergeCell ref="W34:Z35"/>
    <mergeCell ref="W36:Z37"/>
    <mergeCell ref="AT1:AW3"/>
    <mergeCell ref="BN34:BN35"/>
    <mergeCell ref="BN36:BN37"/>
    <mergeCell ref="BN16:BN17"/>
    <mergeCell ref="BN18:BN19"/>
    <mergeCell ref="BN20:BN21"/>
    <mergeCell ref="BN22:BN23"/>
    <mergeCell ref="BN24:BN25"/>
    <mergeCell ref="BN26:BN27"/>
    <mergeCell ref="BN28:BN29"/>
    <mergeCell ref="BN30:BN31"/>
    <mergeCell ref="BN32:BN33"/>
    <mergeCell ref="BM36:BM37"/>
    <mergeCell ref="BA32:BA33"/>
    <mergeCell ref="BB32:BB33"/>
    <mergeCell ref="BG28:BG29"/>
    <mergeCell ref="BI28:BI29"/>
    <mergeCell ref="BK28:BK29"/>
    <mergeCell ref="BL28:BL29"/>
    <mergeCell ref="BM28:BM29"/>
    <mergeCell ref="BE28:BE29"/>
    <mergeCell ref="BF28:BF29"/>
    <mergeCell ref="BM30:BM31"/>
    <mergeCell ref="BE30:BE31"/>
    <mergeCell ref="BP34:BP35"/>
    <mergeCell ref="BP36:BP37"/>
    <mergeCell ref="BO34:BO35"/>
    <mergeCell ref="BO36:BO37"/>
    <mergeCell ref="BO16:BO17"/>
    <mergeCell ref="BO18:BO19"/>
    <mergeCell ref="BO20:BO21"/>
    <mergeCell ref="BO22:BO23"/>
    <mergeCell ref="BO24:BO25"/>
    <mergeCell ref="BO26:BO27"/>
    <mergeCell ref="BO28:BO29"/>
    <mergeCell ref="BO30:BO31"/>
    <mergeCell ref="BO32:BO33"/>
    <mergeCell ref="BP16:BP17"/>
    <mergeCell ref="BP18:BP19"/>
    <mergeCell ref="BP20:BP21"/>
    <mergeCell ref="BP22:BP23"/>
    <mergeCell ref="BP24:BP25"/>
    <mergeCell ref="BP26:BP27"/>
    <mergeCell ref="BP28:BP29"/>
    <mergeCell ref="BP30:BP31"/>
    <mergeCell ref="BP32:BP33"/>
    <mergeCell ref="A8:E8"/>
    <mergeCell ref="BE36:BE37"/>
    <mergeCell ref="BF36:BF37"/>
    <mergeCell ref="BG36:BG37"/>
    <mergeCell ref="BI36:BI37"/>
    <mergeCell ref="BK36:BK37"/>
    <mergeCell ref="BL36:BL37"/>
    <mergeCell ref="AY36:AY37"/>
    <mergeCell ref="AZ36:AZ37"/>
    <mergeCell ref="BA36:BA37"/>
    <mergeCell ref="BB36:BB37"/>
    <mergeCell ref="BC36:BC37"/>
    <mergeCell ref="BD36:BD37"/>
    <mergeCell ref="AE36:AH37"/>
    <mergeCell ref="BI34:BI35"/>
    <mergeCell ref="BK34:BK35"/>
    <mergeCell ref="BL34:BL35"/>
    <mergeCell ref="G9:J11"/>
    <mergeCell ref="O9:R11"/>
    <mergeCell ref="K9:N11"/>
    <mergeCell ref="AK36:AL37"/>
    <mergeCell ref="AM36:AN37"/>
    <mergeCell ref="W16:Z17"/>
    <mergeCell ref="W18:Z19"/>
    <mergeCell ref="M200:AG201"/>
    <mergeCell ref="AY200:AY201"/>
    <mergeCell ref="BA200:BA201"/>
    <mergeCell ref="BB200:BB201"/>
    <mergeCell ref="BM34:BM35"/>
    <mergeCell ref="B36:B37"/>
    <mergeCell ref="C36:Q37"/>
    <mergeCell ref="R36:T37"/>
    <mergeCell ref="U36:V37"/>
    <mergeCell ref="AA36:AD37"/>
    <mergeCell ref="BA34:BA35"/>
    <mergeCell ref="BB34:BB35"/>
    <mergeCell ref="BC34:BC35"/>
    <mergeCell ref="BD34:BD35"/>
    <mergeCell ref="BE34:BE35"/>
    <mergeCell ref="BF34:BF35"/>
    <mergeCell ref="AK34:AL35"/>
    <mergeCell ref="AM34:AN35"/>
    <mergeCell ref="AO34:AQ35"/>
    <mergeCell ref="AR34:AU35"/>
    <mergeCell ref="AY34:AY35"/>
    <mergeCell ref="AZ34:AZ35"/>
    <mergeCell ref="AI36:AJ37"/>
    <mergeCell ref="AO36:AQ37"/>
    <mergeCell ref="AR36:AU37"/>
    <mergeCell ref="BG34:BG35"/>
    <mergeCell ref="AE30:AH31"/>
    <mergeCell ref="AI30:AJ31"/>
    <mergeCell ref="BK32:BK33"/>
    <mergeCell ref="BL32:BL33"/>
    <mergeCell ref="BM32:BM33"/>
    <mergeCell ref="B34:B35"/>
    <mergeCell ref="C34:Q35"/>
    <mergeCell ref="R34:T35"/>
    <mergeCell ref="U34:V35"/>
    <mergeCell ref="AA34:AD35"/>
    <mergeCell ref="AE34:AH35"/>
    <mergeCell ref="AI34:AJ35"/>
    <mergeCell ref="BC32:BC33"/>
    <mergeCell ref="BD32:BD33"/>
    <mergeCell ref="BE32:BE33"/>
    <mergeCell ref="BF32:BF33"/>
    <mergeCell ref="BG32:BG33"/>
    <mergeCell ref="BI32:BI33"/>
    <mergeCell ref="AO32:AQ33"/>
    <mergeCell ref="AR32:AU33"/>
    <mergeCell ref="AY32:AY33"/>
    <mergeCell ref="AZ32:AZ33"/>
    <mergeCell ref="BF30:BF31"/>
    <mergeCell ref="BG30:BG31"/>
    <mergeCell ref="BI30:BI31"/>
    <mergeCell ref="BK30:BK31"/>
    <mergeCell ref="BL30:BL31"/>
    <mergeCell ref="BD28:BD29"/>
    <mergeCell ref="BD30:BD31"/>
    <mergeCell ref="BJ28:BJ29"/>
    <mergeCell ref="BJ30:BJ31"/>
    <mergeCell ref="B32:B33"/>
    <mergeCell ref="C32:Q33"/>
    <mergeCell ref="R32:T33"/>
    <mergeCell ref="U32:V33"/>
    <mergeCell ref="AA32:AD33"/>
    <mergeCell ref="AE32:AH33"/>
    <mergeCell ref="AI32:AJ33"/>
    <mergeCell ref="AK32:AL33"/>
    <mergeCell ref="AM32:AN33"/>
    <mergeCell ref="AY30:AY31"/>
    <mergeCell ref="B30:B31"/>
    <mergeCell ref="C30:Q31"/>
    <mergeCell ref="R30:T31"/>
    <mergeCell ref="U30:V31"/>
    <mergeCell ref="AA30:AD31"/>
    <mergeCell ref="BA28:BA29"/>
    <mergeCell ref="BB28:BB29"/>
    <mergeCell ref="BC28:BC29"/>
    <mergeCell ref="AK28:AL29"/>
    <mergeCell ref="AM28:AN29"/>
    <mergeCell ref="AO28:AQ29"/>
    <mergeCell ref="AR28:AU29"/>
    <mergeCell ref="AY28:AY29"/>
    <mergeCell ref="AZ28:AZ29"/>
    <mergeCell ref="AK30:AL31"/>
    <mergeCell ref="AM30:AN31"/>
    <mergeCell ref="AO30:AQ31"/>
    <mergeCell ref="AR30:AU31"/>
    <mergeCell ref="AZ30:AZ31"/>
    <mergeCell ref="BA30:BA31"/>
    <mergeCell ref="BB30:BB31"/>
    <mergeCell ref="BC30:BC31"/>
    <mergeCell ref="BK26:BK27"/>
    <mergeCell ref="BL26:BL27"/>
    <mergeCell ref="BM26:BM27"/>
    <mergeCell ref="B28:B29"/>
    <mergeCell ref="C28:Q29"/>
    <mergeCell ref="R28:T29"/>
    <mergeCell ref="U28:V29"/>
    <mergeCell ref="AA28:AD29"/>
    <mergeCell ref="AE28:AH29"/>
    <mergeCell ref="AI28:AJ29"/>
    <mergeCell ref="BC26:BC27"/>
    <mergeCell ref="BD26:BD27"/>
    <mergeCell ref="BE26:BE27"/>
    <mergeCell ref="BF26:BF27"/>
    <mergeCell ref="BG26:BG27"/>
    <mergeCell ref="BI26:BI27"/>
    <mergeCell ref="AO26:AQ27"/>
    <mergeCell ref="AR26:AU27"/>
    <mergeCell ref="AY26:AY27"/>
    <mergeCell ref="AZ26:AZ27"/>
    <mergeCell ref="BA26:BA27"/>
    <mergeCell ref="BB26:BB27"/>
    <mergeCell ref="BK22:BK23"/>
    <mergeCell ref="BL22:BL23"/>
    <mergeCell ref="BM22:BM23"/>
    <mergeCell ref="BE22:BE23"/>
    <mergeCell ref="BF22:BF23"/>
    <mergeCell ref="BM24:BM25"/>
    <mergeCell ref="B26:B27"/>
    <mergeCell ref="C26:Q27"/>
    <mergeCell ref="R26:T27"/>
    <mergeCell ref="U26:V27"/>
    <mergeCell ref="AA26:AD27"/>
    <mergeCell ref="AE26:AH27"/>
    <mergeCell ref="AI26:AJ27"/>
    <mergeCell ref="AK26:AL27"/>
    <mergeCell ref="AM26:AN27"/>
    <mergeCell ref="BE24:BE25"/>
    <mergeCell ref="BF24:BF25"/>
    <mergeCell ref="BG24:BG25"/>
    <mergeCell ref="BI24:BI25"/>
    <mergeCell ref="BK24:BK25"/>
    <mergeCell ref="BL24:BL25"/>
    <mergeCell ref="AY24:AY25"/>
    <mergeCell ref="AE24:AH25"/>
    <mergeCell ref="AI24:AJ25"/>
    <mergeCell ref="B24:B25"/>
    <mergeCell ref="C24:Q25"/>
    <mergeCell ref="R24:T25"/>
    <mergeCell ref="U24:V25"/>
    <mergeCell ref="AA24:AD25"/>
    <mergeCell ref="BA22:BA23"/>
    <mergeCell ref="BB22:BB23"/>
    <mergeCell ref="BC22:BC23"/>
    <mergeCell ref="BD22:BD23"/>
    <mergeCell ref="AK22:AL23"/>
    <mergeCell ref="AM22:AN23"/>
    <mergeCell ref="AO22:AQ23"/>
    <mergeCell ref="AR22:AU23"/>
    <mergeCell ref="AY22:AY23"/>
    <mergeCell ref="AZ22:AZ23"/>
    <mergeCell ref="AK24:AL25"/>
    <mergeCell ref="AM24:AN25"/>
    <mergeCell ref="AO24:AQ25"/>
    <mergeCell ref="AR24:AU25"/>
    <mergeCell ref="AZ24:AZ25"/>
    <mergeCell ref="BA24:BA25"/>
    <mergeCell ref="BB24:BB25"/>
    <mergeCell ref="BC24:BC25"/>
    <mergeCell ref="BD24:BD25"/>
    <mergeCell ref="BK20:BK21"/>
    <mergeCell ref="BL20:BL21"/>
    <mergeCell ref="BM20:BM21"/>
    <mergeCell ref="B22:B23"/>
    <mergeCell ref="C22:Q23"/>
    <mergeCell ref="R22:T23"/>
    <mergeCell ref="U22:V23"/>
    <mergeCell ref="AA22:AD23"/>
    <mergeCell ref="AE22:AH23"/>
    <mergeCell ref="AI22:AJ23"/>
    <mergeCell ref="BC20:BC21"/>
    <mergeCell ref="BD20:BD21"/>
    <mergeCell ref="BE20:BE21"/>
    <mergeCell ref="BF20:BF21"/>
    <mergeCell ref="BG20:BG21"/>
    <mergeCell ref="BI20:BI21"/>
    <mergeCell ref="AO20:AQ21"/>
    <mergeCell ref="AR20:AU21"/>
    <mergeCell ref="AY20:AY21"/>
    <mergeCell ref="AZ20:AZ21"/>
    <mergeCell ref="BA20:BA21"/>
    <mergeCell ref="BB20:BB21"/>
    <mergeCell ref="BG22:BG23"/>
    <mergeCell ref="BI22:BI23"/>
    <mergeCell ref="BK16:BK17"/>
    <mergeCell ref="BL16:BL17"/>
    <mergeCell ref="BM16:BM17"/>
    <mergeCell ref="AI17:AJ17"/>
    <mergeCell ref="AK17:AL17"/>
    <mergeCell ref="BF16:BG16"/>
    <mergeCell ref="BI16:BI17"/>
    <mergeCell ref="BM18:BM19"/>
    <mergeCell ref="B20:B21"/>
    <mergeCell ref="C20:Q21"/>
    <mergeCell ref="R20:T21"/>
    <mergeCell ref="U20:V21"/>
    <mergeCell ref="AA20:AD21"/>
    <mergeCell ref="AE20:AH21"/>
    <mergeCell ref="AI20:AJ21"/>
    <mergeCell ref="AK20:AL21"/>
    <mergeCell ref="AM20:AN21"/>
    <mergeCell ref="BE18:BE19"/>
    <mergeCell ref="BF18:BF19"/>
    <mergeCell ref="BG18:BG19"/>
    <mergeCell ref="BI18:BI19"/>
    <mergeCell ref="BK18:BK19"/>
    <mergeCell ref="BL18:BL19"/>
    <mergeCell ref="AY18:AY19"/>
    <mergeCell ref="B18:B19"/>
    <mergeCell ref="C18:Q19"/>
    <mergeCell ref="R18:T19"/>
    <mergeCell ref="U18:V19"/>
    <mergeCell ref="AA18:AD19"/>
    <mergeCell ref="AE18:AH19"/>
    <mergeCell ref="AI16:AL16"/>
    <mergeCell ref="AM16:AN17"/>
    <mergeCell ref="AO16:AQ17"/>
    <mergeCell ref="AK18:AL19"/>
    <mergeCell ref="AM18:AN19"/>
    <mergeCell ref="AO18:AQ19"/>
    <mergeCell ref="AI18:AJ19"/>
    <mergeCell ref="F1:I3"/>
    <mergeCell ref="J1:M3"/>
    <mergeCell ref="O1:AE3"/>
    <mergeCell ref="AL1:AO3"/>
    <mergeCell ref="AP1:AS3"/>
    <mergeCell ref="R14:U14"/>
    <mergeCell ref="V14:Y14"/>
    <mergeCell ref="Z14:AC14"/>
    <mergeCell ref="BH18:BH19"/>
    <mergeCell ref="C16:Q17"/>
    <mergeCell ref="R16:T17"/>
    <mergeCell ref="U16:V17"/>
    <mergeCell ref="AA16:AD17"/>
    <mergeCell ref="AE16:AH17"/>
    <mergeCell ref="R12:U13"/>
    <mergeCell ref="V12:Y13"/>
    <mergeCell ref="Z12:AC13"/>
    <mergeCell ref="AR16:AU17"/>
    <mergeCell ref="AY16:AY17"/>
    <mergeCell ref="AZ16:AZ17"/>
    <mergeCell ref="AR18:AU19"/>
    <mergeCell ref="AZ18:AZ19"/>
    <mergeCell ref="A5:E6"/>
    <mergeCell ref="A7:E7"/>
    <mergeCell ref="BH20:BH21"/>
    <mergeCell ref="BJ18:BJ19"/>
    <mergeCell ref="BJ20:BJ21"/>
    <mergeCell ref="BJ22:BJ23"/>
    <mergeCell ref="BJ24:BJ25"/>
    <mergeCell ref="BJ26:BJ27"/>
    <mergeCell ref="AQ5:AU6"/>
    <mergeCell ref="AQ7:AU7"/>
    <mergeCell ref="AQ8:AU8"/>
    <mergeCell ref="BA16:BB16"/>
    <mergeCell ref="BC16:BC17"/>
    <mergeCell ref="BD16:BD17"/>
    <mergeCell ref="BE16:BE17"/>
    <mergeCell ref="BA18:BA19"/>
    <mergeCell ref="BB18:BB19"/>
    <mergeCell ref="BC18:BC19"/>
    <mergeCell ref="BD18:BD19"/>
    <mergeCell ref="BH16:BH17"/>
    <mergeCell ref="BJ16:BJ17"/>
    <mergeCell ref="AI13:AQ14"/>
    <mergeCell ref="BJ34:BJ35"/>
    <mergeCell ref="BJ36:BJ37"/>
    <mergeCell ref="BH22:BH23"/>
    <mergeCell ref="BH24:BH25"/>
    <mergeCell ref="BH26:BH27"/>
    <mergeCell ref="BH28:BH29"/>
    <mergeCell ref="BH30:BH31"/>
    <mergeCell ref="BH32:BH33"/>
    <mergeCell ref="BH34:BH35"/>
    <mergeCell ref="BH36:BH37"/>
    <mergeCell ref="BJ32:BJ33"/>
  </mergeCells>
  <conditionalFormatting sqref="U18:AL37">
    <cfRule type="expression" dxfId="111" priority="5">
      <formula>AND(ISBLANK($C18)=FALSE,OR(ISBLANK(U18)=TRUE,U18=""))</formula>
    </cfRule>
  </conditionalFormatting>
  <conditionalFormatting sqref="AM18:AN37">
    <cfRule type="expression" dxfId="110" priority="2">
      <formula>AM18 &lt;&gt; INDEX(STDWATERINC_N, MATCH(C18, STDWATERLIST_N,0))</formula>
    </cfRule>
  </conditionalFormatting>
  <conditionalFormatting sqref="AQ8:AW8">
    <cfRule type="expression" dxfId="109" priority="1640">
      <formula>IF($AQ$8=PROJSTATMEASURE,FALSE,TRUE)</formula>
    </cfRule>
  </conditionalFormatting>
  <conditionalFormatting sqref="AR18:AU37">
    <cfRule type="expression" dxfId="108" priority="1857" stopIfTrue="1">
      <formula>ISNUMBER($AR18)=FALSE</formula>
    </cfRule>
    <cfRule type="expression" dxfId="107" priority="1858">
      <formula>$AR18 &lt;&gt; $BH18</formula>
    </cfRule>
  </conditionalFormatting>
  <dataValidations count="6">
    <dataValidation allowBlank="1" showInputMessage="1" showErrorMessage="1" prompt="Install Location should describe the area where the equipment installed. (e.g. Room 201, Garage, Mechanical Room)" sqref="AE18:AH37" xr:uid="{1AC84FE0-010C-4DBF-8DC1-6A560A461434}"/>
    <dataValidation type="decimal" allowBlank="1" showInputMessage="1" showErrorMessage="1" prompt="This is the TOTAL Material Cost of the measure, NOT a per unit basis." sqref="AI18:AJ37" xr:uid="{CC31230E-23F2-4EE4-8288-E030E8A5CE68}">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DE95835F-DE3F-4A60-BE25-5358779F6A5F}">
      <formula1>0</formula1>
    </dataValidation>
    <dataValidation type="decimal" allowBlank="1" showInputMessage="1" showErrorMessage="1" prompt="This is the TOTAL Labor Cost of the measure, NOT a per unit basis." sqref="AK18:AL37" xr:uid="{EF47477C-BF6A-4898-B780-9E437B39BC92}">
      <formula1>0</formula1>
      <formula2>999999</formula2>
    </dataValidation>
    <dataValidation type="list" allowBlank="1" showInputMessage="1" showErrorMessage="1" prompt="Select Efficient Measure. If you do not see your equipment listed, it may qualify as a Custom Measure." sqref="C18:Q37" xr:uid="{062FE1C6-B110-4BB1-BDC7-C32239FD3D14}">
      <formula1>STDWATERLIST_N</formula1>
    </dataValidation>
    <dataValidation allowBlank="1" showInputMessage="1" showErrorMessage="1" prompt="Enter the Brand and Model # as it appears in technical documents and invoices." sqref="W18:AD37" xr:uid="{89A0BAFE-B323-403E-8215-861F4FAFC63F}"/>
  </dataValidations>
  <hyperlinks>
    <hyperlink ref="G9:J11" location="'M03-S04'!C18" tooltip="Refrigeration" display="'M03-S04'!C18" xr:uid="{FA278B4B-344E-4E48-9DE6-E8C20379A240}"/>
    <hyperlink ref="K9:N11" location="'M03-S08'!C18" tooltip="Motors and Drives" display="'M03-S08'!C18" xr:uid="{137023F3-9C7C-44A0-9736-6FC74CB0A67C}"/>
    <hyperlink ref="B202" r:id="rId1" display="businessrebates@evergy.com" xr:uid="{79A6D295-3F53-4C24-887A-819D54063F01}"/>
  </hyperlinks>
  <printOptions horizontalCentered="1"/>
  <pageMargins left="0" right="0" top="0" bottom="0" header="0" footer="0"/>
  <pageSetup scale="4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61176-719C-4785-B1EC-2D70EB5EE441}">
  <sheetPr codeName="Sheet34">
    <tabColor theme="9" tint="0.59999389629810485"/>
    <pageSetUpPr fitToPage="1"/>
  </sheetPr>
  <dimension ref="A1:BS204"/>
  <sheetViews>
    <sheetView showGridLines="0" showRowColHeaders="0" zoomScale="85" zoomScaleNormal="85" workbookViewId="0">
      <selection activeCell="C18" sqref="C18:K19"/>
    </sheetView>
  </sheetViews>
  <sheetFormatPr defaultColWidth="0" defaultRowHeight="15" customHeight="1" zeroHeight="1"/>
  <cols>
    <col min="1" max="49" width="4.7109375" customWidth="1"/>
    <col min="50" max="50" width="4.7109375" hidden="1"/>
    <col min="51" max="52" width="9.7109375" hidden="1"/>
    <col min="53" max="53" width="12.85546875" hidden="1"/>
    <col min="54" max="68" width="9.7109375" hidden="1"/>
    <col min="69" max="69" width="12.140625" hidden="1"/>
    <col min="70" max="70" width="8.7109375" hidden="1"/>
    <col min="71" max="71" width="11.7109375" hidden="1"/>
    <col min="72" max="16384" width="4.7109375" hidden="1"/>
  </cols>
  <sheetData>
    <row r="1" spans="1:71"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71"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71"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71" ht="15.95" customHeight="1">
      <c r="B4" s="199"/>
      <c r="C4" s="199"/>
      <c r="D4" s="199"/>
      <c r="E4" s="199"/>
    </row>
    <row r="5" spans="1:71" ht="15.95" customHeight="1">
      <c r="A5" s="667">
        <f>INCENTOTAL_N</f>
        <v>0</v>
      </c>
      <c r="B5" s="667"/>
      <c r="C5" s="667"/>
      <c r="D5" s="667"/>
      <c r="E5" s="667"/>
      <c r="AQ5" s="668">
        <f ca="1">PROGRESSSTATUS_N</f>
        <v>0</v>
      </c>
      <c r="AR5" s="668"/>
      <c r="AS5" s="668"/>
      <c r="AT5" s="668"/>
      <c r="AU5" s="668"/>
      <c r="AV5" s="557"/>
      <c r="AW5" s="557"/>
      <c r="AY5" s="21"/>
      <c r="AZ5" s="110" t="s">
        <v>844</v>
      </c>
      <c r="BA5" s="110" t="s">
        <v>198</v>
      </c>
    </row>
    <row r="6" spans="1:71" ht="15.95" customHeight="1">
      <c r="A6" s="667"/>
      <c r="B6" s="667"/>
      <c r="C6" s="667"/>
      <c r="D6" s="667"/>
      <c r="E6" s="667"/>
      <c r="AQ6" s="668"/>
      <c r="AR6" s="668"/>
      <c r="AS6" s="668"/>
      <c r="AT6" s="668"/>
      <c r="AU6" s="668"/>
      <c r="AV6" s="557"/>
      <c r="AW6" s="557"/>
      <c r="AY6" s="109" t="s">
        <v>26</v>
      </c>
      <c r="AZ6" s="108" t="str">
        <f>CBLIGHT_N</f>
        <v>NA</v>
      </c>
      <c r="BA6" s="176" t="str">
        <f>PAYLIGHT_N</f>
        <v>NA</v>
      </c>
    </row>
    <row r="7" spans="1:71" ht="15.95" customHeight="1">
      <c r="A7" s="665" t="s">
        <v>20</v>
      </c>
      <c r="B7" s="665"/>
      <c r="C7" s="665"/>
      <c r="D7" s="665"/>
      <c r="E7" s="665"/>
      <c r="AQ7" s="665" t="s">
        <v>179</v>
      </c>
      <c r="AR7" s="665"/>
      <c r="AS7" s="665"/>
      <c r="AT7" s="665"/>
      <c r="AU7" s="665"/>
      <c r="AV7" s="556"/>
      <c r="AW7" s="556"/>
      <c r="AY7" s="109" t="s">
        <v>50</v>
      </c>
      <c r="AZ7" s="108" t="str">
        <f>CBCUST_N</f>
        <v>NA</v>
      </c>
      <c r="BA7" s="176" t="str">
        <f>PAYCUST_N</f>
        <v>NA</v>
      </c>
    </row>
    <row r="8" spans="1:71" ht="15.95" customHeight="1" thickBot="1">
      <c r="A8" s="665"/>
      <c r="B8" s="665"/>
      <c r="C8" s="665"/>
      <c r="D8" s="665"/>
      <c r="E8" s="665"/>
      <c r="AQ8" s="674" t="str">
        <f ca="1">PROJSTATUS_N</f>
        <v>Enter Measures</v>
      </c>
      <c r="AR8" s="674"/>
      <c r="AS8" s="674"/>
      <c r="AT8" s="674"/>
      <c r="AU8" s="674"/>
      <c r="AV8" s="558"/>
      <c r="AW8" s="558"/>
      <c r="AY8" s="109" t="s">
        <v>273</v>
      </c>
      <c r="AZ8" s="108" t="str">
        <f>CBPROJ_N</f>
        <v>NA</v>
      </c>
      <c r="BA8" s="176" t="str">
        <f>PAYPROJ_N</f>
        <v>NA</v>
      </c>
    </row>
    <row r="9" spans="1:71" s="79" customFormat="1" ht="15.95" customHeight="1">
      <c r="A9" s="101"/>
      <c r="B9" s="101"/>
      <c r="C9" s="101"/>
      <c r="D9" s="101"/>
      <c r="E9" s="103"/>
      <c r="F9" s="102"/>
      <c r="G9" s="925" t="str">
        <f>N4S1</f>
        <v>HVAC</v>
      </c>
      <c r="H9" s="925"/>
      <c r="I9" s="925"/>
      <c r="J9" s="925"/>
      <c r="K9" s="930" t="str">
        <f>N4S2</f>
        <v>Motors and Drives</v>
      </c>
      <c r="L9" s="930"/>
      <c r="M9" s="930"/>
      <c r="N9" s="930"/>
      <c r="O9" s="930" t="str">
        <f>N4S3</f>
        <v>Compressed Air / Process</v>
      </c>
      <c r="P9" s="930"/>
      <c r="Q9" s="930"/>
      <c r="R9" s="930"/>
      <c r="S9" s="930" t="str">
        <f>N4S4</f>
        <v>Refrigeration</v>
      </c>
      <c r="T9" s="930"/>
      <c r="U9" s="930"/>
      <c r="V9" s="930"/>
      <c r="W9" s="930" t="str">
        <f>N4S5</f>
        <v>Water Heating / Food Services</v>
      </c>
      <c r="X9" s="931"/>
      <c r="Y9" s="931"/>
      <c r="Z9" s="931"/>
      <c r="AA9" s="930" t="str">
        <f>N4S6</f>
        <v>Miscellaneous</v>
      </c>
      <c r="AB9" s="931"/>
      <c r="AC9" s="931"/>
      <c r="AD9" s="931"/>
      <c r="AE9" s="101"/>
      <c r="AF9" s="101"/>
      <c r="AG9" s="101"/>
      <c r="AH9" s="101"/>
      <c r="AI9" s="101"/>
      <c r="AJ9" s="101"/>
      <c r="AK9" s="101"/>
      <c r="AL9" s="101"/>
      <c r="AM9" s="101"/>
      <c r="AN9" s="101"/>
      <c r="AO9" s="102"/>
      <c r="AP9" s="102"/>
      <c r="AQ9" s="102"/>
      <c r="AR9" s="102"/>
      <c r="AS9" s="102"/>
      <c r="AT9" s="102"/>
      <c r="AU9" s="102"/>
      <c r="AV9" s="102"/>
      <c r="AW9" s="102"/>
      <c r="AX9"/>
      <c r="AY9" s="107" t="s">
        <v>828</v>
      </c>
      <c r="AZ9" s="399" t="str">
        <f ca="1">NEWCONCODE</f>
        <v>IECC 2012</v>
      </c>
    </row>
    <row r="10" spans="1:71" s="79" customFormat="1" ht="15.95" customHeight="1">
      <c r="B10" s="80"/>
      <c r="C10" s="80"/>
      <c r="D10" s="80"/>
      <c r="E10"/>
      <c r="F10"/>
      <c r="G10" s="926"/>
      <c r="H10" s="926"/>
      <c r="I10" s="926"/>
      <c r="J10" s="926"/>
      <c r="K10" s="1113"/>
      <c r="L10" s="1113"/>
      <c r="M10" s="1113"/>
      <c r="N10" s="1113"/>
      <c r="O10" s="1113"/>
      <c r="P10" s="1113"/>
      <c r="Q10" s="1113"/>
      <c r="R10" s="1113"/>
      <c r="S10" s="1113"/>
      <c r="T10" s="1113"/>
      <c r="U10" s="1113"/>
      <c r="V10" s="1113"/>
      <c r="W10" s="932"/>
      <c r="X10" s="932"/>
      <c r="Y10" s="932"/>
      <c r="Z10" s="932"/>
      <c r="AA10" s="932"/>
      <c r="AB10" s="932"/>
      <c r="AC10" s="932"/>
      <c r="AD10" s="932"/>
      <c r="AE10" s="80"/>
      <c r="AO10"/>
      <c r="AQ10" s="80"/>
      <c r="AR10" s="80"/>
      <c r="AX10"/>
    </row>
    <row r="11" spans="1:71" ht="15.95" customHeight="1">
      <c r="B11" s="97"/>
      <c r="C11" s="97"/>
      <c r="D11" s="97"/>
      <c r="G11" s="926"/>
      <c r="H11" s="926"/>
      <c r="I11" s="926"/>
      <c r="J11" s="926"/>
      <c r="K11" s="1113"/>
      <c r="L11" s="1113"/>
      <c r="M11" s="1113"/>
      <c r="N11" s="1113"/>
      <c r="O11" s="1113"/>
      <c r="P11" s="1113"/>
      <c r="Q11" s="1113"/>
      <c r="R11" s="1113"/>
      <c r="S11" s="1113"/>
      <c r="T11" s="1113"/>
      <c r="U11" s="1113"/>
      <c r="V11" s="1113"/>
      <c r="W11" s="932"/>
      <c r="X11" s="932"/>
      <c r="Y11" s="932"/>
      <c r="Z11" s="932"/>
      <c r="AA11" s="932"/>
      <c r="AB11" s="932"/>
      <c r="AC11" s="932"/>
      <c r="AD11" s="932"/>
      <c r="AE11" s="97"/>
      <c r="AQ11" s="97"/>
      <c r="AR11" s="97"/>
    </row>
    <row r="12" spans="1:71" ht="15.95" customHeight="1">
      <c r="A12" s="77"/>
      <c r="B12" s="77"/>
      <c r="C12" s="77"/>
      <c r="D12" s="77"/>
      <c r="E12" s="77"/>
      <c r="R12" s="789">
        <f>SUM(AN18:AQ184)</f>
        <v>0</v>
      </c>
      <c r="S12" s="789"/>
      <c r="T12" s="789"/>
      <c r="U12" s="789"/>
      <c r="V12" s="789">
        <f ca="1">SUMIF(AN18:AQ184,"&gt;0",AH18:AJ184)</f>
        <v>0</v>
      </c>
      <c r="W12" s="789"/>
      <c r="X12" s="789"/>
      <c r="Y12" s="789"/>
      <c r="Z12" s="790">
        <f ca="1">SUMIF(AN18:AQ184,"&gt;0",AK18:AM184)</f>
        <v>0</v>
      </c>
      <c r="AA12" s="790"/>
      <c r="AB12" s="790"/>
      <c r="AC12" s="790"/>
      <c r="AP12" s="456"/>
    </row>
    <row r="13" spans="1:71" ht="15.95" customHeight="1">
      <c r="A13" s="77"/>
      <c r="B13" s="77"/>
      <c r="R13" s="789"/>
      <c r="S13" s="789"/>
      <c r="T13" s="789"/>
      <c r="U13" s="789"/>
      <c r="V13" s="789"/>
      <c r="W13" s="789"/>
      <c r="X13" s="789"/>
      <c r="Y13" s="789"/>
      <c r="Z13" s="790"/>
      <c r="AA13" s="790"/>
      <c r="AB13" s="790"/>
      <c r="AC13" s="790"/>
      <c r="AI13" s="786" t="str">
        <f>IF(IFERROR(MATCH("100% Incremental Cost", BP:BP, 0), FALSE), "The incentive for one or more measures is capped due to measure cost.", "")</f>
        <v/>
      </c>
      <c r="AJ13" s="786"/>
      <c r="AK13" s="786"/>
      <c r="AL13" s="786"/>
      <c r="AM13" s="786"/>
      <c r="AN13" s="786"/>
      <c r="AO13" s="786"/>
      <c r="AP13" s="786"/>
      <c r="AQ13" s="786"/>
    </row>
    <row r="14" spans="1:71" ht="15.95" customHeight="1">
      <c r="R14" s="793" t="s">
        <v>1204</v>
      </c>
      <c r="S14" s="793"/>
      <c r="T14" s="793"/>
      <c r="U14" s="793"/>
      <c r="V14" s="793" t="s">
        <v>4</v>
      </c>
      <c r="W14" s="793"/>
      <c r="X14" s="793"/>
      <c r="Y14" s="793"/>
      <c r="Z14" s="793" t="s">
        <v>776</v>
      </c>
      <c r="AA14" s="793"/>
      <c r="AB14" s="793"/>
      <c r="AC14" s="793"/>
      <c r="AI14" s="786"/>
      <c r="AJ14" s="786"/>
      <c r="AK14" s="786"/>
      <c r="AL14" s="786"/>
      <c r="AM14" s="786"/>
      <c r="AN14" s="786"/>
      <c r="AO14" s="786"/>
      <c r="AP14" s="786"/>
      <c r="AQ14" s="786"/>
    </row>
    <row r="15" spans="1:71" ht="15.95" customHeight="1"/>
    <row r="16" spans="1:71" ht="15.95" customHeight="1">
      <c r="C16" s="794" t="s">
        <v>811</v>
      </c>
      <c r="D16" s="794"/>
      <c r="E16" s="794"/>
      <c r="F16" s="794"/>
      <c r="G16" s="794"/>
      <c r="H16" s="794"/>
      <c r="I16" s="794"/>
      <c r="J16" s="794"/>
      <c r="K16" s="794"/>
      <c r="L16" s="794" t="s">
        <v>840</v>
      </c>
      <c r="M16" s="794"/>
      <c r="N16" s="794"/>
      <c r="O16" s="794"/>
      <c r="P16" s="794"/>
      <c r="Q16" s="794" t="s">
        <v>1971</v>
      </c>
      <c r="R16" s="794"/>
      <c r="S16" s="794"/>
      <c r="T16" s="794" t="s">
        <v>841</v>
      </c>
      <c r="U16" s="794"/>
      <c r="V16" s="794"/>
      <c r="W16" s="794"/>
      <c r="X16" s="794"/>
      <c r="Y16" s="794" t="s">
        <v>1972</v>
      </c>
      <c r="Z16" s="794"/>
      <c r="AA16" s="794"/>
      <c r="AB16" s="794" t="s">
        <v>1525</v>
      </c>
      <c r="AC16" s="794"/>
      <c r="AD16" s="794"/>
      <c r="AE16" s="794" t="s">
        <v>1526</v>
      </c>
      <c r="AF16" s="794"/>
      <c r="AG16" s="794"/>
      <c r="AH16" s="794" t="s">
        <v>832</v>
      </c>
      <c r="AI16" s="794"/>
      <c r="AJ16" s="794"/>
      <c r="AK16" s="794" t="s">
        <v>725</v>
      </c>
      <c r="AL16" s="794"/>
      <c r="AM16" s="794"/>
      <c r="AN16" s="794" t="s">
        <v>20</v>
      </c>
      <c r="AO16" s="794"/>
      <c r="AP16" s="794"/>
      <c r="AQ16" s="794"/>
      <c r="AY16" s="796" t="s">
        <v>48</v>
      </c>
      <c r="AZ16" s="796" t="s">
        <v>198</v>
      </c>
      <c r="BA16" s="796" t="s">
        <v>733</v>
      </c>
      <c r="BB16" s="796" t="s">
        <v>2039</v>
      </c>
      <c r="BC16" s="796" t="s">
        <v>850</v>
      </c>
      <c r="BD16" s="796" t="s">
        <v>300</v>
      </c>
      <c r="BE16" s="796" t="s">
        <v>822</v>
      </c>
      <c r="BF16" s="796" t="s">
        <v>25</v>
      </c>
      <c r="BG16" s="796" t="s">
        <v>836</v>
      </c>
      <c r="BH16" s="796" t="s">
        <v>838</v>
      </c>
      <c r="BI16" s="796" t="s">
        <v>1012</v>
      </c>
      <c r="BJ16" s="798" t="s">
        <v>1321</v>
      </c>
      <c r="BK16" s="798" t="s">
        <v>320</v>
      </c>
      <c r="BL16" s="796"/>
      <c r="BM16" s="796"/>
      <c r="BN16" s="796" t="s">
        <v>1240</v>
      </c>
      <c r="BO16" s="796" t="s">
        <v>22</v>
      </c>
      <c r="BP16" s="796" t="s">
        <v>837</v>
      </c>
      <c r="BQ16" s="796" t="s">
        <v>185</v>
      </c>
      <c r="BR16" s="798" t="s">
        <v>1324</v>
      </c>
      <c r="BS16" s="798" t="s">
        <v>1903</v>
      </c>
    </row>
    <row r="17" spans="1:71" ht="15.95" customHeight="1" thickBot="1">
      <c r="B17" s="21"/>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Y17" s="797"/>
      <c r="AZ17" s="797"/>
      <c r="BA17" s="797"/>
      <c r="BB17" s="797"/>
      <c r="BC17" s="797"/>
      <c r="BD17" s="797"/>
      <c r="BE17" s="797"/>
      <c r="BF17" s="797"/>
      <c r="BG17" s="797"/>
      <c r="BH17" s="797"/>
      <c r="BI17" s="797"/>
      <c r="BJ17" s="799"/>
      <c r="BK17" s="799"/>
      <c r="BL17" s="797"/>
      <c r="BM17" s="797"/>
      <c r="BN17" s="797"/>
      <c r="BO17" s="797"/>
      <c r="BP17" s="797"/>
      <c r="BQ17" s="797"/>
      <c r="BR17" s="799"/>
      <c r="BS17" s="799"/>
    </row>
    <row r="18" spans="1:71" ht="15.95" customHeight="1">
      <c r="B18" s="800">
        <v>1</v>
      </c>
      <c r="C18" s="1107"/>
      <c r="D18" s="1108"/>
      <c r="E18" s="1108"/>
      <c r="F18" s="1108"/>
      <c r="G18" s="1108"/>
      <c r="H18" s="1108"/>
      <c r="I18" s="1108"/>
      <c r="J18" s="1108"/>
      <c r="K18" s="1108"/>
      <c r="L18" s="1079"/>
      <c r="M18" s="1079"/>
      <c r="N18" s="1079"/>
      <c r="O18" s="1079"/>
      <c r="P18" s="1080"/>
      <c r="Q18" s="1075"/>
      <c r="R18" s="1076"/>
      <c r="S18" s="1076"/>
      <c r="T18" s="1079"/>
      <c r="U18" s="1079"/>
      <c r="V18" s="1079"/>
      <c r="W18" s="1079"/>
      <c r="X18" s="1080"/>
      <c r="Y18" s="1087"/>
      <c r="Z18" s="1076"/>
      <c r="AA18" s="1076"/>
      <c r="AB18" s="1109"/>
      <c r="AC18" s="1109"/>
      <c r="AD18" s="1110"/>
      <c r="AE18" s="1111"/>
      <c r="AF18" s="1112"/>
      <c r="AG18" s="1112"/>
      <c r="AH18" s="1114" t="str">
        <f>IF(OR(C18="",L18="",Q18="",T18="",Y18="",AB18="",AE18=""),"",ROUND(AE18-AB18,2))</f>
        <v/>
      </c>
      <c r="AI18" s="1114"/>
      <c r="AJ18" s="1115"/>
      <c r="AK18" s="831" t="str">
        <f>IF(OR(C18="",L18="",Q18="",T18="",Y18="",AB18="",AE18=""),"",IF(BD18-BE18&lt;=0,0,ROUND(BD18-BE18,0)))</f>
        <v/>
      </c>
      <c r="AL18" s="831"/>
      <c r="AM18" s="831"/>
      <c r="AN18" s="833" t="str">
        <f>IF(OR(C18="",L18="",Q18="",T18="",Y18="",AB18="",AE18=""),"",
IF(BQ18&lt;&gt;"",BQ18,IF(BS18&gt;0,BS18,
IF(ACTIVEBLOCK_N="Yes",ROUND(MIN(AH18*INCCOSTCAP,AK18*BLOCKBIDRATE),2),
ROUND(MIN(AH18*INCCOSTCAP,BJ18),2))
)))</f>
        <v/>
      </c>
      <c r="AO18" s="833"/>
      <c r="AP18" s="833"/>
      <c r="AQ18" s="833"/>
      <c r="AY18" s="835" t="str">
        <f>IFERROR(IF(OR(C18="",L18="",Q18="",T18="",Y18="",AB18="",AE18=""),"",ROUND(BR18/AH18,2)),0)</f>
        <v/>
      </c>
      <c r="AZ18" s="835" t="str">
        <f>IFERROR(AH18/N02S03F14/AK18,"")</f>
        <v/>
      </c>
      <c r="BA18" s="1073" t="str">
        <f>IF(C18="","",INDEX(CMEHVAC_N[Unit of Measure],MATCH(C18,CMEHVAC_N[Proj Desc 1],0)))</f>
        <v/>
      </c>
      <c r="BB18" s="849" t="str">
        <f>IF(AK18&lt;&gt;"","Missing!","")</f>
        <v/>
      </c>
      <c r="BC18" s="849" t="str">
        <f>IF(AK18&lt;&gt;"","Missing!","")</f>
        <v/>
      </c>
      <c r="BD18" s="837" t="str">
        <f>IF(OR(C18="",L18="",Q18="",T18="",Y18="",AB18="",AE18=""),"",ROUND(Q18,0))</f>
        <v/>
      </c>
      <c r="BE18" s="837" t="str">
        <f>IF(OR(C18="",L18="",Q18="",T18="",Y18="",AB18="",AE18=""),"",ROUND(Y18,0))</f>
        <v/>
      </c>
      <c r="BF18" s="843" t="str">
        <f>IF(C18="","",IF(INDEX(CMEHVAC_N[EUL],MATCH(C18,CMEHVAC_N[Proj Desc 1],0))="","",INDEX(CMEHVAC_N[EUL],MATCH(C18,CMEHVAC_N[Proj Desc 1],0))))</f>
        <v/>
      </c>
      <c r="BG18" s="845" t="str">
        <f>IF(C18="","",IF(INDEX(CMEHVAC_N[End Use Category],MATCH(C18,CMEHVAC_N[Proj Desc 1],0))="","",INDEX(CMEHVAC_N[End Use Category],MATCH(C18,CMEHVAC_N[Proj Desc 1],0))))</f>
        <v/>
      </c>
      <c r="BH18" s="1065" t="str">
        <f>IFERROR(IF(OR(C18="",L18="",Q18="",T18="",Y18="",AB18="",AE18=""),"",ROUND(AK18*INDEX(ENDUSEALL[Factor],MATCH(BG18,ENDUSEALL[End Use to Coincident Peak Demand Factors],0)),4)),"")</f>
        <v/>
      </c>
      <c r="BI18" s="874"/>
      <c r="BJ18" s="787" t="str">
        <f>IFERROR(ROUND(AK18*BK18,2),"")</f>
        <v/>
      </c>
      <c r="BK18" s="787" t="str">
        <f>_xlfn.LET(_xlpm.ROWS,MATCH(BG18,ENDUSEALL[End Use to Coincident Peak Demand Factors],0),IFERROR(INDEX(IF(AND(ACTIVEBONUS_N = TRUE,INDEX(ENDUSEALL[Bonus Rate ($/kWh)],_xlpm.ROWS)&lt;&gt;""),ENDUSEALL[Bonus Rate ($/kWh)],ENDUSEALL[Rate ($/kWh)]),_xlpm.ROWS),""))</f>
        <v/>
      </c>
      <c r="BL18" s="829"/>
      <c r="BM18" s="829"/>
      <c r="BN18" s="1069" t="str">
        <f>_xlfn.LET(_xlpm.BONUS_RATE,INDEX(ENDUSEALL[Bonus Rate ($/kWh)],MATCH(BG18,ENDUSEALL[End Use to Coincident Peak Demand Factors],0)),_xlpm.BASE_RATE,INDEX(ENDUSEALL[Rate ($/kWh)],MATCH(BG18,ENDUSEALL[End Use to Coincident Peak Demand Factors],0)),IFERROR(IF(OR(ACTIVEBONUS_N &lt;&gt; TRUE,ISNUMBER(AN18) = FALSE,BS18 &lt;&gt; ""),"",AN18-(AK18*_xlpm.BASE_RATE)),""))</f>
        <v/>
      </c>
      <c r="BO18" s="1070" t="str">
        <f>IF(OR(C18="",L18="",Q18="",T18="",Y18="",AB18="",AE18=""),"",IF(BQ18&lt;&gt;"",SPILLOVERNUMBER,INDEX(CMEHVAC_N[Measure Number],MATCH(C18,CMEHVAC_N[Proj Desc 1],0))))</f>
        <v/>
      </c>
      <c r="BP18" s="815" t="str">
        <f>IFERROR(
IF(BS18="",
IF(AND(ROUND(AN18/AH18,2)=INCCOSTCAP,BJ18/AH18&gt;INCCOSTCAP),
"100% Incremental Cost",
IF(BK18&lt;KWHRATEMIN,
"kWh Incentive Rate Min",
IF(BK18&gt;KWHRATEMAX,
"kWh Incentive Rate Cap",
IF(AN18=BN18,
"Bonus Incentive",
"kWh Incentive"
)))),""),
"")</f>
        <v/>
      </c>
      <c r="BQ18" s="815" t="str">
        <f ca="1">IFERROR(IF(EXPIRATION&lt;&gt;"",PROJSTATEXP,
IF(BS18&gt;0,"",
IF(BD18-BE18&lt;=0,MEASURESAVE,
IF(OR(N02S03F14="",N02S03F14="Select Rate Code",N02S03F14=0),MEASURERATE,
IF(AND(ISNUMBER(SEARCH("Others",C18)),OR(BF18="",BG18="")),MEASURESUBMIT,
IF(AH18&lt;=0,MEASUREINCR,
IF(PAYPROJ_N&lt;PAYBACKREQ,PROJECTSTATPAYBACK,
IF(CBPROJ_N&lt;CBREQ,PROJECTSTATCB,"")))))))),MEASURESUBMIT)</f>
        <v>Submit for Review</v>
      </c>
      <c r="BR18" s="787" t="str">
        <f>IFERROR(IF(OR(C18="",L18="",Q18="",T18="",Y18="",AB18="",AE18=""),"",
ROUND(((1+ELOSS)*((AK18*INDEX(ELECCB[NPV AEC $/kWh],MATCH(BF18,ELECCB[Year Number],1)))+(BH18*INDEX(ELECCB[NPV ACC $/kW],MATCH(BF18,ELECCB[Year Number],1))))),2)),0)</f>
        <v/>
      </c>
      <c r="BS18" s="853"/>
    </row>
    <row r="19" spans="1:71" ht="15.95" customHeight="1">
      <c r="B19" s="800"/>
      <c r="C19" s="1091"/>
      <c r="D19" s="1092"/>
      <c r="E19" s="1092"/>
      <c r="F19" s="1092"/>
      <c r="G19" s="1092"/>
      <c r="H19" s="1092"/>
      <c r="I19" s="1092"/>
      <c r="J19" s="1092"/>
      <c r="K19" s="1092"/>
      <c r="L19" s="1081"/>
      <c r="M19" s="1081"/>
      <c r="N19" s="1081"/>
      <c r="O19" s="1081"/>
      <c r="P19" s="1082"/>
      <c r="Q19" s="1077"/>
      <c r="R19" s="1078"/>
      <c r="S19" s="1078"/>
      <c r="T19" s="1081"/>
      <c r="U19" s="1081"/>
      <c r="V19" s="1081"/>
      <c r="W19" s="1081"/>
      <c r="X19" s="1082"/>
      <c r="Y19" s="1088"/>
      <c r="Z19" s="1078"/>
      <c r="AA19" s="1078"/>
      <c r="AB19" s="1093"/>
      <c r="AC19" s="1093"/>
      <c r="AD19" s="1094"/>
      <c r="AE19" s="1095"/>
      <c r="AF19" s="1096"/>
      <c r="AG19" s="1096"/>
      <c r="AH19" s="1105"/>
      <c r="AI19" s="1105"/>
      <c r="AJ19" s="1106"/>
      <c r="AK19" s="832"/>
      <c r="AL19" s="832"/>
      <c r="AM19" s="832"/>
      <c r="AN19" s="834"/>
      <c r="AO19" s="834"/>
      <c r="AP19" s="834"/>
      <c r="AQ19" s="834"/>
      <c r="AY19" s="836"/>
      <c r="AZ19" s="836"/>
      <c r="BA19" s="1074"/>
      <c r="BB19" s="850"/>
      <c r="BC19" s="850"/>
      <c r="BD19" s="838"/>
      <c r="BE19" s="838"/>
      <c r="BF19" s="844"/>
      <c r="BG19" s="846"/>
      <c r="BH19" s="837"/>
      <c r="BI19" s="875"/>
      <c r="BJ19" s="788"/>
      <c r="BK19" s="788"/>
      <c r="BL19" s="830"/>
      <c r="BM19" s="830"/>
      <c r="BN19" s="1090"/>
      <c r="BO19" s="1071"/>
      <c r="BP19" s="816"/>
      <c r="BQ19" s="816"/>
      <c r="BR19" s="788"/>
      <c r="BS19" s="854"/>
    </row>
    <row r="20" spans="1:71" ht="15.95" customHeight="1">
      <c r="A20" s="76"/>
      <c r="B20" s="800">
        <v>2</v>
      </c>
      <c r="C20" s="1091"/>
      <c r="D20" s="1092"/>
      <c r="E20" s="1092"/>
      <c r="F20" s="1092"/>
      <c r="G20" s="1092"/>
      <c r="H20" s="1092"/>
      <c r="I20" s="1092"/>
      <c r="J20" s="1092"/>
      <c r="K20" s="1092"/>
      <c r="L20" s="1083"/>
      <c r="M20" s="1083"/>
      <c r="N20" s="1083"/>
      <c r="O20" s="1083"/>
      <c r="P20" s="1084"/>
      <c r="Q20" s="1085"/>
      <c r="R20" s="1086"/>
      <c r="S20" s="1086"/>
      <c r="T20" s="1083"/>
      <c r="U20" s="1083"/>
      <c r="V20" s="1083"/>
      <c r="W20" s="1083"/>
      <c r="X20" s="1084"/>
      <c r="Y20" s="1089"/>
      <c r="Z20" s="1086"/>
      <c r="AA20" s="1086"/>
      <c r="AB20" s="1093"/>
      <c r="AC20" s="1093"/>
      <c r="AD20" s="1094"/>
      <c r="AE20" s="1095"/>
      <c r="AF20" s="1096"/>
      <c r="AG20" s="1096"/>
      <c r="AH20" s="1103" t="str">
        <f t="shared" ref="AH20" si="0">IF(OR(C20="",L20="",Q20="",T20="",Y20="",AB20="",AE20=""),"",ROUND(AE20-AB20,2))</f>
        <v/>
      </c>
      <c r="AI20" s="1103"/>
      <c r="AJ20" s="1104"/>
      <c r="AK20" s="831" t="str">
        <f t="shared" ref="AK20" si="1">IF(OR(C20="",L20="",Q20="",T20="",Y20="",AB20="",AE20=""),"",IF(BD20-BE20&lt;=0,0,ROUND(BD20-BE20,0)))</f>
        <v/>
      </c>
      <c r="AL20" s="831"/>
      <c r="AM20" s="831"/>
      <c r="AN20" s="1097" t="str">
        <f>IF(OR(C20="",L20="",Q20="",T20="",Y20="",AB20="",AE20=""),"",
IF(BQ20&lt;&gt;"",BQ20,IF(BS20&gt;0,BS20,
IF(ACTIVEBLOCK_N="Yes",ROUND(MIN(AH20*INCCOSTCAP,AK20*BLOCKBIDRATE),2),
ROUND(MIN(AH20*INCCOSTCAP,BJ20),2))
)))</f>
        <v/>
      </c>
      <c r="AO20" s="1098"/>
      <c r="AP20" s="1098"/>
      <c r="AQ20" s="1099"/>
      <c r="AY20" s="835" t="str">
        <f t="shared" ref="AY20" si="2">IFERROR(IF(OR(C20="",L20="",Q20="",T20="",Y20="",AB20="",AE20=""),"",ROUND(BR20/AH20,2)),0)</f>
        <v/>
      </c>
      <c r="AZ20" s="835" t="str">
        <f>IFERROR(AH20/N02S03F14/AK20,"")</f>
        <v/>
      </c>
      <c r="BA20" s="1073" t="str">
        <f>IF(C20="","",INDEX(CMEHVAC_N[Unit of Measure],MATCH(C20,CMEHVAC_N[Proj Desc 1],0)))</f>
        <v/>
      </c>
      <c r="BB20" s="849" t="str">
        <f t="shared" ref="BB20" si="3">IF(AK20&lt;&gt;"","Missing!","")</f>
        <v/>
      </c>
      <c r="BC20" s="849" t="str">
        <f t="shared" ref="BC20" si="4">IF(AK20&lt;&gt;"","Missing!","")</f>
        <v/>
      </c>
      <c r="BD20" s="837" t="str">
        <f t="shared" ref="BD20" si="5">IF(OR(C20="",L20="",Q20="",T20="",Y20="",AB20="",AE20=""),"",ROUND(Q20,0))</f>
        <v/>
      </c>
      <c r="BE20" s="837" t="str">
        <f t="shared" ref="BE20" si="6">IF(OR(C20="",L20="",Q20="",T20="",Y20="",AB20="",AE20=""),"",ROUND(Y20,0))</f>
        <v/>
      </c>
      <c r="BF20" s="843" t="str">
        <f>IF(C20="","",IF(INDEX(CMEHVAC_N[EUL],MATCH(C20,CMEHVAC_N[Proj Desc 1],0))="","",INDEX(CMEHVAC_N[EUL],MATCH(C20,CMEHVAC_N[Proj Desc 1],0))))</f>
        <v/>
      </c>
      <c r="BG20" s="845" t="str">
        <f>IF(C20="","",IF(INDEX(CMEHVAC_N[End Use Category],MATCH(C20,CMEHVAC_N[Proj Desc 1],0))="","",INDEX(CMEHVAC_N[End Use Category],MATCH(C20,CMEHVAC_N[Proj Desc 1],0))))</f>
        <v/>
      </c>
      <c r="BH20" s="1065" t="str">
        <f>IFERROR(IF(OR(C20="",L20="",Q20="",T20="",Y20="",AB20="",AE20=""),"",ROUND(AK20*INDEX(ENDUSEALL[Factor],MATCH(BG20,ENDUSEALL[End Use to Coincident Peak Demand Factors],0)),4)),"")</f>
        <v/>
      </c>
      <c r="BI20" s="874"/>
      <c r="BJ20" s="787" t="str">
        <f>IFERROR(ROUND(AK20*BK20,2),"")</f>
        <v/>
      </c>
      <c r="BK20" s="1067" t="str">
        <f>_xlfn.LET(_xlpm.ROWS,MATCH(BG20,ENDUSEALL[End Use to Coincident Peak Demand Factors],0),IFERROR(INDEX(IF(AND(ACTIVEBONUS_N = TRUE,INDEX(ENDUSEALL[Bonus Rate ($/kWh)],_xlpm.ROWS)&lt;&gt;""),ENDUSEALL[Bonus Rate ($/kWh)],ENDUSEALL[Rate ($/kWh)]),_xlpm.ROWS),""))</f>
        <v/>
      </c>
      <c r="BL20" s="829"/>
      <c r="BM20" s="829"/>
      <c r="BN20" s="1068" t="str">
        <f>_xlfn.LET(_xlpm.BONUS_RATE,INDEX(ENDUSEALL[Bonus Rate ($/kWh)],MATCH(BG20,ENDUSEALL[End Use to Coincident Peak Demand Factors],0)),_xlpm.BASE_RATE,INDEX(ENDUSEALL[Rate ($/kWh)],MATCH(BG20,ENDUSEALL[End Use to Coincident Peak Demand Factors],0)),IFERROR(IF(OR(ACTIVEBONUS_N &lt;&gt; TRUE,ISNUMBER(AN20) = FALSE,BS20 &lt;&gt; ""),"",AN20-(AK20*_xlpm.BASE_RATE)),""))</f>
        <v/>
      </c>
      <c r="BO20" s="1070" t="str">
        <f>IF(OR(C20="",L20="",Q20="",T20="",Y20="",AB20="",AE20=""),"",IF(BQ20&lt;&gt;"",SPILLOVERNUMBER,INDEX(CMEHVAC_N[Measure Number],MATCH(C20,CMEHVAC_N[Proj Desc 1],0))))</f>
        <v/>
      </c>
      <c r="BP20" s="1072" t="str">
        <f>IFERROR(
IF(BS20="",
IF(AND(ROUND(AN20/AH20,2)=INCCOSTCAP,BJ20/AH20&gt;INCCOSTCAP),
"100% Incremental Cost",
IF(BK20&lt;KWHRATEMIN,
"kWh Incentive Rate Min",
IF(BK20&gt;KWHRATEMAX,
"kWh Incentive Rate Cap",
IF(AN20=BN20,
"Bonus Incentive",
"kWh Incentive"
)))),""),
"")</f>
        <v/>
      </c>
      <c r="BQ20" s="815" t="str">
        <f ca="1">IFERROR(IF(EXPIRATION&lt;&gt;"",PROJSTATEXP,
IF(BS20&gt;0,"",
IF(BD20-BE20&lt;=0,MEASURESAVE,
IF(OR(N02S03F14="",N02S03F14="Select Rate Code",N02S03F14=0),MEASURERATE,
IF(AND(ISNUMBER(SEARCH("Others",C20)),OR(BF20="",BG20="")),MEASURESUBMIT,
IF(AH20&lt;=0,MEASUREINCR,
IF(PAYPROJ_N&lt;PAYBACKREQ,PROJECTSTATPAYBACK,
IF(CBPROJ_N&lt;CBREQ,PROJECTSTATCB,"")))))))),MEASURESUBMIT)</f>
        <v>Submit for Review</v>
      </c>
      <c r="BR20" s="787" t="str">
        <f>IFERROR(IF(OR(C20="",L20="",Q20="",T20="",Y20="",AB20="",AE20=""),"",
ROUND(((1+ELOSS)*((AK20*INDEX(ELECCB[NPV AEC $/kWh],MATCH(BF20,ELECCB[Year Number],1)))+(BH20*INDEX(ELECCB[NPV ACC $/kW],MATCH(BF20,ELECCB[Year Number],1))))),2)),0)</f>
        <v/>
      </c>
      <c r="BS20" s="853"/>
    </row>
    <row r="21" spans="1:71" ht="15.95" customHeight="1">
      <c r="B21" s="800"/>
      <c r="C21" s="1091"/>
      <c r="D21" s="1092"/>
      <c r="E21" s="1092"/>
      <c r="F21" s="1092"/>
      <c r="G21" s="1092"/>
      <c r="H21" s="1092"/>
      <c r="I21" s="1092"/>
      <c r="J21" s="1092"/>
      <c r="K21" s="1092"/>
      <c r="L21" s="1081"/>
      <c r="M21" s="1081"/>
      <c r="N21" s="1081"/>
      <c r="O21" s="1081"/>
      <c r="P21" s="1082"/>
      <c r="Q21" s="1077"/>
      <c r="R21" s="1078"/>
      <c r="S21" s="1078"/>
      <c r="T21" s="1081"/>
      <c r="U21" s="1081"/>
      <c r="V21" s="1081"/>
      <c r="W21" s="1081"/>
      <c r="X21" s="1082"/>
      <c r="Y21" s="1088"/>
      <c r="Z21" s="1078"/>
      <c r="AA21" s="1078"/>
      <c r="AB21" s="1093"/>
      <c r="AC21" s="1093"/>
      <c r="AD21" s="1094"/>
      <c r="AE21" s="1095"/>
      <c r="AF21" s="1096"/>
      <c r="AG21" s="1096"/>
      <c r="AH21" s="1105"/>
      <c r="AI21" s="1105"/>
      <c r="AJ21" s="1106"/>
      <c r="AK21" s="832"/>
      <c r="AL21" s="832"/>
      <c r="AM21" s="832"/>
      <c r="AN21" s="1100"/>
      <c r="AO21" s="1101"/>
      <c r="AP21" s="1101"/>
      <c r="AQ21" s="1102"/>
      <c r="AY21" s="836"/>
      <c r="AZ21" s="836"/>
      <c r="BA21" s="1074"/>
      <c r="BB21" s="850"/>
      <c r="BC21" s="850"/>
      <c r="BD21" s="838"/>
      <c r="BE21" s="838"/>
      <c r="BF21" s="844"/>
      <c r="BG21" s="846"/>
      <c r="BH21" s="837"/>
      <c r="BI21" s="875"/>
      <c r="BJ21" s="788"/>
      <c r="BK21" s="787"/>
      <c r="BL21" s="830"/>
      <c r="BM21" s="830"/>
      <c r="BN21" s="1069"/>
      <c r="BO21" s="1071"/>
      <c r="BP21" s="815"/>
      <c r="BQ21" s="816"/>
      <c r="BR21" s="788"/>
      <c r="BS21" s="854"/>
    </row>
    <row r="22" spans="1:71" s="21" customFormat="1" ht="15.95" customHeight="1">
      <c r="A22" s="111"/>
      <c r="B22" s="800">
        <v>3</v>
      </c>
      <c r="C22" s="1091"/>
      <c r="D22" s="1092"/>
      <c r="E22" s="1092"/>
      <c r="F22" s="1092"/>
      <c r="G22" s="1092"/>
      <c r="H22" s="1092"/>
      <c r="I22" s="1092"/>
      <c r="J22" s="1092"/>
      <c r="K22" s="1092"/>
      <c r="L22" s="1083"/>
      <c r="M22" s="1083"/>
      <c r="N22" s="1083"/>
      <c r="O22" s="1083"/>
      <c r="P22" s="1084"/>
      <c r="Q22" s="1085"/>
      <c r="R22" s="1086"/>
      <c r="S22" s="1086"/>
      <c r="T22" s="1083"/>
      <c r="U22" s="1083"/>
      <c r="V22" s="1083"/>
      <c r="W22" s="1083"/>
      <c r="X22" s="1084"/>
      <c r="Y22" s="1089"/>
      <c r="Z22" s="1086"/>
      <c r="AA22" s="1086"/>
      <c r="AB22" s="1093"/>
      <c r="AC22" s="1093"/>
      <c r="AD22" s="1094"/>
      <c r="AE22" s="1095"/>
      <c r="AF22" s="1096"/>
      <c r="AG22" s="1096"/>
      <c r="AH22" s="1103" t="str">
        <f t="shared" ref="AH22" si="7">IF(OR(C22="",L22="",Q22="",T22="",Y22="",AB22="",AE22=""),"",ROUND(AE22-AB22,2))</f>
        <v/>
      </c>
      <c r="AI22" s="1103"/>
      <c r="AJ22" s="1104"/>
      <c r="AK22" s="831" t="str">
        <f t="shared" ref="AK22" si="8">IF(OR(C22="",L22="",Q22="",T22="",Y22="",AB22="",AE22=""),"",IF(BD22-BE22&lt;=0,0,ROUND(BD22-BE22,0)))</f>
        <v/>
      </c>
      <c r="AL22" s="831"/>
      <c r="AM22" s="831"/>
      <c r="AN22" s="1097" t="str">
        <f>IF(OR(C22="",L22="",Q22="",T22="",Y22="",AB22="",AE22=""),"",
IF(BQ22&lt;&gt;"",BQ22,IF(BS22&gt;0,BS22,
IF(ACTIVEBLOCK_N="Yes",ROUND(MIN(AH22*INCCOSTCAP,AK22*BLOCKBIDRATE),2),
ROUND(MIN(AH22*INCCOSTCAP,BJ22),2))
)))</f>
        <v/>
      </c>
      <c r="AO22" s="1098"/>
      <c r="AP22" s="1098"/>
      <c r="AQ22" s="1099"/>
      <c r="AR22"/>
      <c r="AS22"/>
      <c r="AT22"/>
      <c r="AU22"/>
      <c r="AV22"/>
      <c r="AW22"/>
      <c r="AX22"/>
      <c r="AY22" s="835" t="str">
        <f t="shared" ref="AY22" si="9">IFERROR(IF(OR(C22="",L22="",Q22="",T22="",Y22="",AB22="",AE22=""),"",ROUND(BR22/AH22,2)),0)</f>
        <v/>
      </c>
      <c r="AZ22" s="835" t="str">
        <f>IFERROR(AH22/N02S03F14/AK22,"")</f>
        <v/>
      </c>
      <c r="BA22" s="1073" t="str">
        <f>IF(C22="","",INDEX(CMEHVAC_N[Unit of Measure],MATCH(C22,CMEHVAC_N[Proj Desc 1],0)))</f>
        <v/>
      </c>
      <c r="BB22" s="849" t="str">
        <f t="shared" ref="BB22" si="10">IF(AK22&lt;&gt;"","Missing!","")</f>
        <v/>
      </c>
      <c r="BC22" s="849" t="str">
        <f t="shared" ref="BC22" si="11">IF(AK22&lt;&gt;"","Missing!","")</f>
        <v/>
      </c>
      <c r="BD22" s="837" t="str">
        <f t="shared" ref="BD22" si="12">IF(OR(C22="",L22="",Q22="",T22="",Y22="",AB22="",AE22=""),"",ROUND(Q22,0))</f>
        <v/>
      </c>
      <c r="BE22" s="837" t="str">
        <f t="shared" ref="BE22" si="13">IF(OR(C22="",L22="",Q22="",T22="",Y22="",AB22="",AE22=""),"",ROUND(Y22,0))</f>
        <v/>
      </c>
      <c r="BF22" s="843" t="str">
        <f>IF(C22="","",IF(INDEX(CMEHVAC_N[EUL],MATCH(C22,CMEHVAC_N[Proj Desc 1],0))="","",INDEX(CMEHVAC_N[EUL],MATCH(C22,CMEHVAC_N[Proj Desc 1],0))))</f>
        <v/>
      </c>
      <c r="BG22" s="845" t="str">
        <f>IF(C22="","",IF(INDEX(CMEHVAC_N[End Use Category],MATCH(C22,CMEHVAC_N[Proj Desc 1],0))="","",INDEX(CMEHVAC_N[End Use Category],MATCH(C22,CMEHVAC_N[Proj Desc 1],0))))</f>
        <v/>
      </c>
      <c r="BH22" s="1065" t="str">
        <f>IFERROR(IF(OR(C22="",L22="",Q22="",T22="",Y22="",AB22="",AE22=""),"",ROUND(AK22*INDEX(ENDUSEALL[Factor],MATCH(BG22,ENDUSEALL[End Use to Coincident Peak Demand Factors],0)),4)),"")</f>
        <v/>
      </c>
      <c r="BI22" s="874"/>
      <c r="BJ22" s="787" t="str">
        <f>IFERROR(ROUND(AK22*BK22,2),"")</f>
        <v/>
      </c>
      <c r="BK22" s="1067" t="str">
        <f>_xlfn.LET(_xlpm.ROWS,MATCH(BG22,ENDUSEALL[End Use to Coincident Peak Demand Factors],0),IFERROR(INDEX(IF(AND(ACTIVEBONUS_N = TRUE,INDEX(ENDUSEALL[Bonus Rate ($/kWh)],_xlpm.ROWS)&lt;&gt;""),ENDUSEALL[Bonus Rate ($/kWh)],ENDUSEALL[Rate ($/kWh)]),_xlpm.ROWS),""))</f>
        <v/>
      </c>
      <c r="BL22" s="829"/>
      <c r="BM22" s="829"/>
      <c r="BN22" s="1068" t="str">
        <f>_xlfn.LET(_xlpm.BONUS_RATE,INDEX(ENDUSEALL[Bonus Rate ($/kWh)],MATCH(BG22,ENDUSEALL[End Use to Coincident Peak Demand Factors],0)),_xlpm.BASE_RATE,INDEX(ENDUSEALL[Rate ($/kWh)],MATCH(BG22,ENDUSEALL[End Use to Coincident Peak Demand Factors],0)),IFERROR(IF(OR(ACTIVEBONUS_N &lt;&gt; TRUE,ISNUMBER(AN22) = FALSE,BS22 &lt;&gt; ""),"",AN22-(AK22*_xlpm.BASE_RATE)),""))</f>
        <v/>
      </c>
      <c r="BO22" s="1070" t="str">
        <f>IF(OR(C22="",L22="",Q22="",T22="",Y22="",AB22="",AE22=""),"",IF(BQ22&lt;&gt;"",SPILLOVERNUMBER,INDEX(CMEHVAC_N[Measure Number],MATCH(C22,CMEHVAC_N[Proj Desc 1],0))))</f>
        <v/>
      </c>
      <c r="BP22" s="1072" t="str">
        <f>IFERROR(
IF(BS22="",
IF(AND(ROUND(AN22/AH22,2)=INCCOSTCAP,BJ22/AH22&gt;INCCOSTCAP),
"100% Incremental Cost",
IF(BK22&lt;KWHRATEMIN,
"kWh Incentive Rate Min",
IF(BK22&gt;KWHRATEMAX,
"kWh Incentive Rate Cap",
IF(AN22=BN22,
"Bonus Incentive",
"kWh Incentive"
)))),""),
"")</f>
        <v/>
      </c>
      <c r="BQ22" s="815" t="str">
        <f ca="1">IFERROR(IF(EXPIRATION&lt;&gt;"",PROJSTATEXP,
IF(BS22&gt;0,"",
IF(BD22-BE22&lt;=0,MEASURESAVE,
IF(OR(N02S03F14="",N02S03F14="Select Rate Code",N02S03F14=0),MEASURERATE,
IF(AND(ISNUMBER(SEARCH("Others",C22)),OR(BF22="",BG22="")),MEASURESUBMIT,
IF(AH22&lt;=0,MEASUREINCR,
IF(PAYPROJ_N&lt;PAYBACKREQ,PROJECTSTATPAYBACK,
IF(CBPROJ_N&lt;CBREQ,PROJECTSTATCB,"")))))))),MEASURESUBMIT)</f>
        <v>Submit for Review</v>
      </c>
      <c r="BR22" s="787" t="str">
        <f>IFERROR(IF(OR(C22="",L22="",Q22="",T22="",Y22="",AB22="",AE22=""),"",
ROUND(((1+ELOSS)*((AK22*INDEX(ELECCB[NPV AEC $/kWh],MATCH(BF22,ELECCB[Year Number],1)))+(BH22*INDEX(ELECCB[NPV ACC $/kW],MATCH(BF22,ELECCB[Year Number],1))))),2)),0)</f>
        <v/>
      </c>
      <c r="BS22" s="853"/>
    </row>
    <row r="23" spans="1:71" s="21" customFormat="1" ht="15.95" customHeight="1">
      <c r="A23" s="111"/>
      <c r="B23" s="800"/>
      <c r="C23" s="1091"/>
      <c r="D23" s="1092"/>
      <c r="E23" s="1092"/>
      <c r="F23" s="1092"/>
      <c r="G23" s="1092"/>
      <c r="H23" s="1092"/>
      <c r="I23" s="1092"/>
      <c r="J23" s="1092"/>
      <c r="K23" s="1092"/>
      <c r="L23" s="1081"/>
      <c r="M23" s="1081"/>
      <c r="N23" s="1081"/>
      <c r="O23" s="1081"/>
      <c r="P23" s="1082"/>
      <c r="Q23" s="1077"/>
      <c r="R23" s="1078"/>
      <c r="S23" s="1078"/>
      <c r="T23" s="1081"/>
      <c r="U23" s="1081"/>
      <c r="V23" s="1081"/>
      <c r="W23" s="1081"/>
      <c r="X23" s="1082"/>
      <c r="Y23" s="1088"/>
      <c r="Z23" s="1078"/>
      <c r="AA23" s="1078"/>
      <c r="AB23" s="1093"/>
      <c r="AC23" s="1093"/>
      <c r="AD23" s="1094"/>
      <c r="AE23" s="1095"/>
      <c r="AF23" s="1096"/>
      <c r="AG23" s="1096"/>
      <c r="AH23" s="1105"/>
      <c r="AI23" s="1105"/>
      <c r="AJ23" s="1106"/>
      <c r="AK23" s="832"/>
      <c r="AL23" s="832"/>
      <c r="AM23" s="832"/>
      <c r="AN23" s="1100"/>
      <c r="AO23" s="1101"/>
      <c r="AP23" s="1101"/>
      <c r="AQ23" s="1102"/>
      <c r="AR23"/>
      <c r="AS23"/>
      <c r="AT23"/>
      <c r="AU23"/>
      <c r="AV23"/>
      <c r="AW23"/>
      <c r="AX23"/>
      <c r="AY23" s="836"/>
      <c r="AZ23" s="836"/>
      <c r="BA23" s="1074"/>
      <c r="BB23" s="850"/>
      <c r="BC23" s="850"/>
      <c r="BD23" s="838"/>
      <c r="BE23" s="838"/>
      <c r="BF23" s="844"/>
      <c r="BG23" s="846"/>
      <c r="BH23" s="837"/>
      <c r="BI23" s="875"/>
      <c r="BJ23" s="788"/>
      <c r="BK23" s="787"/>
      <c r="BL23" s="830"/>
      <c r="BM23" s="830"/>
      <c r="BN23" s="1069"/>
      <c r="BO23" s="1071"/>
      <c r="BP23" s="815"/>
      <c r="BQ23" s="816"/>
      <c r="BR23" s="788"/>
      <c r="BS23" s="854"/>
    </row>
    <row r="24" spans="1:71" ht="15.95" customHeight="1">
      <c r="B24" s="800">
        <v>4</v>
      </c>
      <c r="C24" s="1091"/>
      <c r="D24" s="1092"/>
      <c r="E24" s="1092"/>
      <c r="F24" s="1092"/>
      <c r="G24" s="1092"/>
      <c r="H24" s="1092"/>
      <c r="I24" s="1092"/>
      <c r="J24" s="1092"/>
      <c r="K24" s="1092"/>
      <c r="L24" s="1083"/>
      <c r="M24" s="1083"/>
      <c r="N24" s="1083"/>
      <c r="O24" s="1083"/>
      <c r="P24" s="1084"/>
      <c r="Q24" s="1085"/>
      <c r="R24" s="1086"/>
      <c r="S24" s="1086"/>
      <c r="T24" s="1083"/>
      <c r="U24" s="1083"/>
      <c r="V24" s="1083"/>
      <c r="W24" s="1083"/>
      <c r="X24" s="1084"/>
      <c r="Y24" s="1089"/>
      <c r="Z24" s="1086"/>
      <c r="AA24" s="1086"/>
      <c r="AB24" s="1093"/>
      <c r="AC24" s="1093"/>
      <c r="AD24" s="1094"/>
      <c r="AE24" s="1095"/>
      <c r="AF24" s="1096"/>
      <c r="AG24" s="1096"/>
      <c r="AH24" s="1103" t="str">
        <f t="shared" ref="AH24" si="14">IF(OR(C24="",L24="",Q24="",T24="",Y24="",AB24="",AE24=""),"",ROUND(AE24-AB24,2))</f>
        <v/>
      </c>
      <c r="AI24" s="1103"/>
      <c r="AJ24" s="1104"/>
      <c r="AK24" s="831" t="str">
        <f t="shared" ref="AK24" si="15">IF(OR(C24="",L24="",Q24="",T24="",Y24="",AB24="",AE24=""),"",IF(BD24-BE24&lt;=0,0,ROUND(BD24-BE24,0)))</f>
        <v/>
      </c>
      <c r="AL24" s="831"/>
      <c r="AM24" s="831"/>
      <c r="AN24" s="1097" t="str">
        <f>IF(OR(C24="",L24="",Q24="",T24="",Y24="",AB24="",AE24=""),"",
IF(BQ24&lt;&gt;"",BQ24,IF(BS24&gt;0,BS24,
IF(ACTIVEBLOCK_N="Yes",ROUND(MIN(AH24*INCCOSTCAP,AK24*BLOCKBIDRATE),2),
ROUND(MIN(AH24*INCCOSTCAP,BJ24),2))
)))</f>
        <v/>
      </c>
      <c r="AO24" s="1098"/>
      <c r="AP24" s="1098"/>
      <c r="AQ24" s="1099"/>
      <c r="AY24" s="835" t="str">
        <f t="shared" ref="AY24" si="16">IFERROR(IF(OR(C24="",L24="",Q24="",T24="",Y24="",AB24="",AE24=""),"",ROUND(BR24/AH24,2)),0)</f>
        <v/>
      </c>
      <c r="AZ24" s="835" t="str">
        <f>IFERROR(AH24/N02S03F14/AK24,"")</f>
        <v/>
      </c>
      <c r="BA24" s="1073" t="str">
        <f>IF(C24="","",INDEX(CMEHVAC_N[Unit of Measure],MATCH(C24,CMEHVAC_N[Proj Desc 1],0)))</f>
        <v/>
      </c>
      <c r="BB24" s="849" t="str">
        <f t="shared" ref="BB24" si="17">IF(AK24&lt;&gt;"","Missing!","")</f>
        <v/>
      </c>
      <c r="BC24" s="849" t="str">
        <f t="shared" ref="BC24" si="18">IF(AK24&lt;&gt;"","Missing!","")</f>
        <v/>
      </c>
      <c r="BD24" s="837" t="str">
        <f t="shared" ref="BD24" si="19">IF(OR(C24="",L24="",Q24="",T24="",Y24="",AB24="",AE24=""),"",ROUND(Q24,0))</f>
        <v/>
      </c>
      <c r="BE24" s="837" t="str">
        <f t="shared" ref="BE24" si="20">IF(OR(C24="",L24="",Q24="",T24="",Y24="",AB24="",AE24=""),"",ROUND(Y24,0))</f>
        <v/>
      </c>
      <c r="BF24" s="843" t="str">
        <f>IF(C24="","",IF(INDEX(CMEHVAC_N[EUL],MATCH(C24,CMEHVAC_N[Proj Desc 1],0))="","",INDEX(CMEHVAC_N[EUL],MATCH(C24,CMEHVAC_N[Proj Desc 1],0))))</f>
        <v/>
      </c>
      <c r="BG24" s="845" t="str">
        <f>IF(C24="","",IF(INDEX(CMEHVAC_N[End Use Category],MATCH(C24,CMEHVAC_N[Proj Desc 1],0))="","",INDEX(CMEHVAC_N[End Use Category],MATCH(C24,CMEHVAC_N[Proj Desc 1],0))))</f>
        <v/>
      </c>
      <c r="BH24" s="1065" t="str">
        <f>IFERROR(IF(OR(C24="",L24="",Q24="",T24="",Y24="",AB24="",AE24=""),"",ROUND(AK24*INDEX(ENDUSEALL[Factor],MATCH(BG24,ENDUSEALL[End Use to Coincident Peak Demand Factors],0)),4)),"")</f>
        <v/>
      </c>
      <c r="BI24" s="874"/>
      <c r="BJ24" s="787" t="str">
        <f>IFERROR(ROUND(AK24*BK24,2),"")</f>
        <v/>
      </c>
      <c r="BK24" s="1067" t="str">
        <f>_xlfn.LET(_xlpm.ROWS,MATCH(BG24,ENDUSEALL[End Use to Coincident Peak Demand Factors],0),IFERROR(INDEX(IF(AND(ACTIVEBONUS_N = TRUE,INDEX(ENDUSEALL[Bonus Rate ($/kWh)],_xlpm.ROWS)&lt;&gt;""),ENDUSEALL[Bonus Rate ($/kWh)],ENDUSEALL[Rate ($/kWh)]),_xlpm.ROWS),""))</f>
        <v/>
      </c>
      <c r="BL24" s="829"/>
      <c r="BM24" s="829"/>
      <c r="BN24" s="1068" t="str">
        <f>_xlfn.LET(_xlpm.BONUS_RATE,INDEX(ENDUSEALL[Bonus Rate ($/kWh)],MATCH(BG24,ENDUSEALL[End Use to Coincident Peak Demand Factors],0)),_xlpm.BASE_RATE,INDEX(ENDUSEALL[Rate ($/kWh)],MATCH(BG24,ENDUSEALL[End Use to Coincident Peak Demand Factors],0)),IFERROR(IF(OR(ACTIVEBONUS_N &lt;&gt; TRUE,ISNUMBER(AN24) = FALSE,BS24 &lt;&gt; ""),"",AN24-(AK24*_xlpm.BASE_RATE)),""))</f>
        <v/>
      </c>
      <c r="BO24" s="1070" t="str">
        <f>IF(OR(C24="",L24="",Q24="",T24="",Y24="",AB24="",AE24=""),"",IF(BQ24&lt;&gt;"",SPILLOVERNUMBER,INDEX(CMEHVAC_N[Measure Number],MATCH(C24,CMEHVAC_N[Proj Desc 1],0))))</f>
        <v/>
      </c>
      <c r="BP24" s="1072" t="str">
        <f>IFERROR(
IF(BS24="",
IF(AND(ROUND(AN24/AH24,2)=INCCOSTCAP,BJ24/AH24&gt;INCCOSTCAP),
"100% Incremental Cost",
IF(BK24&lt;KWHRATEMIN,
"kWh Incentive Rate Min",
IF(BK24&gt;KWHRATEMAX,
"kWh Incentive Rate Cap",
IF(AN24=BN24,
"Bonus Incentive",
"kWh Incentive"
)))),""),
"")</f>
        <v/>
      </c>
      <c r="BQ24" s="815" t="str">
        <f ca="1">IFERROR(IF(EXPIRATION&lt;&gt;"",PROJSTATEXP,
IF(BS24&gt;0,"",
IF(BD24-BE24&lt;=0,MEASURESAVE,
IF(OR(N02S03F14="",N02S03F14="Select Rate Code",N02S03F14=0),MEASURERATE,
IF(AND(ISNUMBER(SEARCH("Others",C24)),OR(BF24="",BG24="")),MEASURESUBMIT,
IF(AH24&lt;=0,MEASUREINCR,
IF(PAYPROJ_N&lt;PAYBACKREQ,PROJECTSTATPAYBACK,
IF(CBPROJ_N&lt;CBREQ,PROJECTSTATCB,"")))))))),MEASURESUBMIT)</f>
        <v>Submit for Review</v>
      </c>
      <c r="BR24" s="787" t="str">
        <f>IFERROR(IF(OR(C24="",L24="",Q24="",T24="",Y24="",AB24="",AE24=""),"",
ROUND(((1+ELOSS)*((AK24*INDEX(ELECCB[NPV AEC $/kWh],MATCH(BF24,ELECCB[Year Number],1)))+(BH24*INDEX(ELECCB[NPV ACC $/kW],MATCH(BF24,ELECCB[Year Number],1))))),2)),0)</f>
        <v/>
      </c>
      <c r="BS24" s="853"/>
    </row>
    <row r="25" spans="1:71" ht="15.95" customHeight="1">
      <c r="A25" s="76"/>
      <c r="B25" s="800"/>
      <c r="C25" s="1091"/>
      <c r="D25" s="1092"/>
      <c r="E25" s="1092"/>
      <c r="F25" s="1092"/>
      <c r="G25" s="1092"/>
      <c r="H25" s="1092"/>
      <c r="I25" s="1092"/>
      <c r="J25" s="1092"/>
      <c r="K25" s="1092"/>
      <c r="L25" s="1081"/>
      <c r="M25" s="1081"/>
      <c r="N25" s="1081"/>
      <c r="O25" s="1081"/>
      <c r="P25" s="1082"/>
      <c r="Q25" s="1077"/>
      <c r="R25" s="1078"/>
      <c r="S25" s="1078"/>
      <c r="T25" s="1081"/>
      <c r="U25" s="1081"/>
      <c r="V25" s="1081"/>
      <c r="W25" s="1081"/>
      <c r="X25" s="1082"/>
      <c r="Y25" s="1088"/>
      <c r="Z25" s="1078"/>
      <c r="AA25" s="1078"/>
      <c r="AB25" s="1093"/>
      <c r="AC25" s="1093"/>
      <c r="AD25" s="1094"/>
      <c r="AE25" s="1095"/>
      <c r="AF25" s="1096"/>
      <c r="AG25" s="1096"/>
      <c r="AH25" s="1105"/>
      <c r="AI25" s="1105"/>
      <c r="AJ25" s="1106"/>
      <c r="AK25" s="832"/>
      <c r="AL25" s="832"/>
      <c r="AM25" s="832"/>
      <c r="AN25" s="1100"/>
      <c r="AO25" s="1101"/>
      <c r="AP25" s="1101"/>
      <c r="AQ25" s="1102"/>
      <c r="AY25" s="836"/>
      <c r="AZ25" s="836"/>
      <c r="BA25" s="1074"/>
      <c r="BB25" s="850"/>
      <c r="BC25" s="850"/>
      <c r="BD25" s="838"/>
      <c r="BE25" s="838"/>
      <c r="BF25" s="844"/>
      <c r="BG25" s="846"/>
      <c r="BH25" s="837"/>
      <c r="BI25" s="875"/>
      <c r="BJ25" s="788"/>
      <c r="BK25" s="787"/>
      <c r="BL25" s="830"/>
      <c r="BM25" s="830"/>
      <c r="BN25" s="1069"/>
      <c r="BO25" s="1071"/>
      <c r="BP25" s="815"/>
      <c r="BQ25" s="816"/>
      <c r="BR25" s="788"/>
      <c r="BS25" s="854"/>
    </row>
    <row r="26" spans="1:71" ht="15.95" customHeight="1">
      <c r="B26" s="800">
        <v>5</v>
      </c>
      <c r="C26" s="1091"/>
      <c r="D26" s="1092"/>
      <c r="E26" s="1092"/>
      <c r="F26" s="1092"/>
      <c r="G26" s="1092"/>
      <c r="H26" s="1092"/>
      <c r="I26" s="1092"/>
      <c r="J26" s="1092"/>
      <c r="K26" s="1092"/>
      <c r="L26" s="1083"/>
      <c r="M26" s="1083"/>
      <c r="N26" s="1083"/>
      <c r="O26" s="1083"/>
      <c r="P26" s="1084"/>
      <c r="Q26" s="1085"/>
      <c r="R26" s="1086"/>
      <c r="S26" s="1086"/>
      <c r="T26" s="1083"/>
      <c r="U26" s="1083"/>
      <c r="V26" s="1083"/>
      <c r="W26" s="1083"/>
      <c r="X26" s="1084"/>
      <c r="Y26" s="1089"/>
      <c r="Z26" s="1086"/>
      <c r="AA26" s="1086"/>
      <c r="AB26" s="1093"/>
      <c r="AC26" s="1093"/>
      <c r="AD26" s="1094"/>
      <c r="AE26" s="1095"/>
      <c r="AF26" s="1096"/>
      <c r="AG26" s="1096"/>
      <c r="AH26" s="1103" t="str">
        <f t="shared" ref="AH26" si="21">IF(OR(C26="",L26="",Q26="",T26="",Y26="",AB26="",AE26=""),"",ROUND(AE26-AB26,2))</f>
        <v/>
      </c>
      <c r="AI26" s="1103"/>
      <c r="AJ26" s="1104"/>
      <c r="AK26" s="831" t="str">
        <f t="shared" ref="AK26" si="22">IF(OR(C26="",L26="",Q26="",T26="",Y26="",AB26="",AE26=""),"",IF(BD26-BE26&lt;=0,0,ROUND(BD26-BE26,0)))</f>
        <v/>
      </c>
      <c r="AL26" s="831"/>
      <c r="AM26" s="831"/>
      <c r="AN26" s="1097" t="str">
        <f>IF(OR(C26="",L26="",Q26="",T26="",Y26="",AB26="",AE26=""),"",
IF(BQ26&lt;&gt;"",BQ26,IF(BS26&gt;0,BS26,
IF(ACTIVEBLOCK_N="Yes",ROUND(MIN(AH26*INCCOSTCAP,AK26*BLOCKBIDRATE),2),
ROUND(MIN(AH26*INCCOSTCAP,BJ26),2))
)))</f>
        <v/>
      </c>
      <c r="AO26" s="1098"/>
      <c r="AP26" s="1098"/>
      <c r="AQ26" s="1099"/>
      <c r="AY26" s="835" t="str">
        <f t="shared" ref="AY26" si="23">IFERROR(IF(OR(C26="",L26="",Q26="",T26="",Y26="",AB26="",AE26=""),"",ROUND(BR26/AH26,2)),0)</f>
        <v/>
      </c>
      <c r="AZ26" s="835" t="str">
        <f>IFERROR(AH26/N02S03F14/AK26,"")</f>
        <v/>
      </c>
      <c r="BA26" s="1073" t="str">
        <f>IF(C26="","",INDEX(CMEHVAC_N[Unit of Measure],MATCH(C26,CMEHVAC_N[Proj Desc 1],0)))</f>
        <v/>
      </c>
      <c r="BB26" s="849" t="str">
        <f t="shared" ref="BB26" si="24">IF(AK26&lt;&gt;"","Missing!","")</f>
        <v/>
      </c>
      <c r="BC26" s="849" t="str">
        <f t="shared" ref="BC26" si="25">IF(AK26&lt;&gt;"","Missing!","")</f>
        <v/>
      </c>
      <c r="BD26" s="837" t="str">
        <f t="shared" ref="BD26" si="26">IF(OR(C26="",L26="",Q26="",T26="",Y26="",AB26="",AE26=""),"",ROUND(Q26,0))</f>
        <v/>
      </c>
      <c r="BE26" s="837" t="str">
        <f t="shared" ref="BE26" si="27">IF(OR(C26="",L26="",Q26="",T26="",Y26="",AB26="",AE26=""),"",ROUND(Y26,0))</f>
        <v/>
      </c>
      <c r="BF26" s="843" t="str">
        <f>IF(C26="","",IF(INDEX(CMEHVAC_N[EUL],MATCH(C26,CMEHVAC_N[Proj Desc 1],0))="","",INDEX(CMEHVAC_N[EUL],MATCH(C26,CMEHVAC_N[Proj Desc 1],0))))</f>
        <v/>
      </c>
      <c r="BG26" s="845" t="str">
        <f>IF(C26="","",IF(INDEX(CMEHVAC_N[End Use Category],MATCH(C26,CMEHVAC_N[Proj Desc 1],0))="","",INDEX(CMEHVAC_N[End Use Category],MATCH(C26,CMEHVAC_N[Proj Desc 1],0))))</f>
        <v/>
      </c>
      <c r="BH26" s="1065" t="str">
        <f>IFERROR(IF(OR(C26="",L26="",Q26="",T26="",Y26="",AB26="",AE26=""),"",ROUND(AK26*INDEX(ENDUSEALL[Factor],MATCH(BG26,ENDUSEALL[End Use to Coincident Peak Demand Factors],0)),4)),"")</f>
        <v/>
      </c>
      <c r="BI26" s="874"/>
      <c r="BJ26" s="787" t="str">
        <f>IFERROR(ROUND(AK26*BK26,2),"")</f>
        <v/>
      </c>
      <c r="BK26" s="1067" t="str">
        <f>_xlfn.LET(_xlpm.ROWS,MATCH(BG26,ENDUSEALL[End Use to Coincident Peak Demand Factors],0),IFERROR(INDEX(IF(AND(ACTIVEBONUS_N = TRUE,INDEX(ENDUSEALL[Bonus Rate ($/kWh)],_xlpm.ROWS)&lt;&gt;""),ENDUSEALL[Bonus Rate ($/kWh)],ENDUSEALL[Rate ($/kWh)]),_xlpm.ROWS),""))</f>
        <v/>
      </c>
      <c r="BL26" s="829"/>
      <c r="BM26" s="829"/>
      <c r="BN26" s="1068" t="str">
        <f>_xlfn.LET(_xlpm.BONUS_RATE,INDEX(ENDUSEALL[Bonus Rate ($/kWh)],MATCH(BG26,ENDUSEALL[End Use to Coincident Peak Demand Factors],0)),_xlpm.BASE_RATE,INDEX(ENDUSEALL[Rate ($/kWh)],MATCH(BG26,ENDUSEALL[End Use to Coincident Peak Demand Factors],0)),IFERROR(IF(OR(ACTIVEBONUS_N &lt;&gt; TRUE,ISNUMBER(AN26) = FALSE,BS26 &lt;&gt; ""),"",AN26-(AK26*_xlpm.BASE_RATE)),""))</f>
        <v/>
      </c>
      <c r="BO26" s="1070" t="str">
        <f>IF(OR(C26="",L26="",Q26="",T26="",Y26="",AB26="",AE26=""),"",IF(BQ26&lt;&gt;"",SPILLOVERNUMBER,INDEX(CMEHVAC_N[Measure Number],MATCH(C26,CMEHVAC_N[Proj Desc 1],0))))</f>
        <v/>
      </c>
      <c r="BP26" s="1072" t="str">
        <f>IFERROR(
IF(BS26="",
IF(AND(ROUND(AN26/AH26,2)=INCCOSTCAP,BJ26/AH26&gt;INCCOSTCAP),
"100% Incremental Cost",
IF(BK26&lt;KWHRATEMIN,
"kWh Incentive Rate Min",
IF(BK26&gt;KWHRATEMAX,
"kWh Incentive Rate Cap",
IF(AN26=BN26,
"Bonus Incentive",
"kWh Incentive"
)))),""),
"")</f>
        <v/>
      </c>
      <c r="BQ26" s="815" t="str">
        <f ca="1">IFERROR(IF(EXPIRATION&lt;&gt;"",PROJSTATEXP,
IF(BS26&gt;0,"",
IF(BD26-BE26&lt;=0,MEASURESAVE,
IF(OR(N02S03F14="",N02S03F14="Select Rate Code",N02S03F14=0),MEASURERATE,
IF(AND(ISNUMBER(SEARCH("Others",C26)),OR(BF26="",BG26="")),MEASURESUBMIT,
IF(AH26&lt;=0,MEASUREINCR,
IF(PAYPROJ_N&lt;PAYBACKREQ,PROJECTSTATPAYBACK,
IF(CBPROJ_N&lt;CBREQ,PROJECTSTATCB,"")))))))),MEASURESUBMIT)</f>
        <v>Submit for Review</v>
      </c>
      <c r="BR26" s="787" t="str">
        <f>IFERROR(IF(OR(C26="",L26="",Q26="",T26="",Y26="",AB26="",AE26=""),"",
ROUND(((1+ELOSS)*((AK26*INDEX(ELECCB[NPV AEC $/kWh],MATCH(BF26,ELECCB[Year Number],1)))+(BH26*INDEX(ELECCB[NPV ACC $/kW],MATCH(BF26,ELECCB[Year Number],1))))),2)),0)</f>
        <v/>
      </c>
      <c r="BS26" s="853"/>
    </row>
    <row r="27" spans="1:71" ht="15.95" customHeight="1">
      <c r="B27" s="800"/>
      <c r="C27" s="1091"/>
      <c r="D27" s="1092"/>
      <c r="E27" s="1092"/>
      <c r="F27" s="1092"/>
      <c r="G27" s="1092"/>
      <c r="H27" s="1092"/>
      <c r="I27" s="1092"/>
      <c r="J27" s="1092"/>
      <c r="K27" s="1092"/>
      <c r="L27" s="1081"/>
      <c r="M27" s="1081"/>
      <c r="N27" s="1081"/>
      <c r="O27" s="1081"/>
      <c r="P27" s="1082"/>
      <c r="Q27" s="1077"/>
      <c r="R27" s="1078"/>
      <c r="S27" s="1078"/>
      <c r="T27" s="1081"/>
      <c r="U27" s="1081"/>
      <c r="V27" s="1081"/>
      <c r="W27" s="1081"/>
      <c r="X27" s="1082"/>
      <c r="Y27" s="1088"/>
      <c r="Z27" s="1078"/>
      <c r="AA27" s="1078"/>
      <c r="AB27" s="1093"/>
      <c r="AC27" s="1093"/>
      <c r="AD27" s="1094"/>
      <c r="AE27" s="1095"/>
      <c r="AF27" s="1096"/>
      <c r="AG27" s="1096"/>
      <c r="AH27" s="1105"/>
      <c r="AI27" s="1105"/>
      <c r="AJ27" s="1106"/>
      <c r="AK27" s="832"/>
      <c r="AL27" s="832"/>
      <c r="AM27" s="832"/>
      <c r="AN27" s="1100"/>
      <c r="AO27" s="1101"/>
      <c r="AP27" s="1101"/>
      <c r="AQ27" s="1102"/>
      <c r="AY27" s="836"/>
      <c r="AZ27" s="836"/>
      <c r="BA27" s="1074"/>
      <c r="BB27" s="850"/>
      <c r="BC27" s="850"/>
      <c r="BD27" s="838"/>
      <c r="BE27" s="838"/>
      <c r="BF27" s="844"/>
      <c r="BG27" s="846"/>
      <c r="BH27" s="837"/>
      <c r="BI27" s="875"/>
      <c r="BJ27" s="788"/>
      <c r="BK27" s="787"/>
      <c r="BL27" s="830"/>
      <c r="BM27" s="830"/>
      <c r="BN27" s="1069"/>
      <c r="BO27" s="1071"/>
      <c r="BP27" s="815"/>
      <c r="BQ27" s="816"/>
      <c r="BR27" s="788"/>
      <c r="BS27" s="854"/>
    </row>
    <row r="28" spans="1:71" ht="15.95" customHeight="1">
      <c r="B28" s="800">
        <v>6</v>
      </c>
      <c r="C28" s="1091"/>
      <c r="D28" s="1092"/>
      <c r="E28" s="1092"/>
      <c r="F28" s="1092"/>
      <c r="G28" s="1092"/>
      <c r="H28" s="1092"/>
      <c r="I28" s="1092"/>
      <c r="J28" s="1092"/>
      <c r="K28" s="1092"/>
      <c r="L28" s="1083"/>
      <c r="M28" s="1083"/>
      <c r="N28" s="1083"/>
      <c r="O28" s="1083"/>
      <c r="P28" s="1084"/>
      <c r="Q28" s="1085"/>
      <c r="R28" s="1086"/>
      <c r="S28" s="1086"/>
      <c r="T28" s="1083"/>
      <c r="U28" s="1083"/>
      <c r="V28" s="1083"/>
      <c r="W28" s="1083"/>
      <c r="X28" s="1084"/>
      <c r="Y28" s="1089"/>
      <c r="Z28" s="1086"/>
      <c r="AA28" s="1086"/>
      <c r="AB28" s="1093"/>
      <c r="AC28" s="1093"/>
      <c r="AD28" s="1094"/>
      <c r="AE28" s="1095"/>
      <c r="AF28" s="1096"/>
      <c r="AG28" s="1096"/>
      <c r="AH28" s="1103" t="str">
        <f t="shared" ref="AH28" si="28">IF(OR(C28="",L28="",Q28="",T28="",Y28="",AB28="",AE28=""),"",ROUND(AE28-AB28,2))</f>
        <v/>
      </c>
      <c r="AI28" s="1103"/>
      <c r="AJ28" s="1104"/>
      <c r="AK28" s="831" t="str">
        <f t="shared" ref="AK28" si="29">IF(OR(C28="",L28="",Q28="",T28="",Y28="",AB28="",AE28=""),"",IF(BD28-BE28&lt;=0,0,ROUND(BD28-BE28,0)))</f>
        <v/>
      </c>
      <c r="AL28" s="831"/>
      <c r="AM28" s="831"/>
      <c r="AN28" s="1097" t="str">
        <f>IF(OR(C28="",L28="",Q28="",T28="",Y28="",AB28="",AE28=""),"",
IF(BQ28&lt;&gt;"",BQ28,IF(BS28&gt;0,BS28,
IF(ACTIVEBLOCK_N="Yes",ROUND(MIN(AH28*INCCOSTCAP,AK28*BLOCKBIDRATE),2),
ROUND(MIN(AH28*INCCOSTCAP,BJ28),2))
)))</f>
        <v/>
      </c>
      <c r="AO28" s="1098"/>
      <c r="AP28" s="1098"/>
      <c r="AQ28" s="1099"/>
      <c r="AY28" s="835" t="str">
        <f t="shared" ref="AY28" si="30">IFERROR(IF(OR(C28="",L28="",Q28="",T28="",Y28="",AB28="",AE28=""),"",ROUND(BR28/AH28,2)),0)</f>
        <v/>
      </c>
      <c r="AZ28" s="835" t="str">
        <f>IFERROR(AH28/N02S03F14/AK28,"")</f>
        <v/>
      </c>
      <c r="BA28" s="1073" t="str">
        <f>IF(C28="","",INDEX(CMEHVAC_N[Unit of Measure],MATCH(C28,CMEHVAC_N[Proj Desc 1],0)))</f>
        <v/>
      </c>
      <c r="BB28" s="849" t="str">
        <f t="shared" ref="BB28" si="31">IF(AK28&lt;&gt;"","Missing!","")</f>
        <v/>
      </c>
      <c r="BC28" s="849" t="str">
        <f t="shared" ref="BC28" si="32">IF(AK28&lt;&gt;"","Missing!","")</f>
        <v/>
      </c>
      <c r="BD28" s="837" t="str">
        <f t="shared" ref="BD28" si="33">IF(OR(C28="",L28="",Q28="",T28="",Y28="",AB28="",AE28=""),"",ROUND(Q28,0))</f>
        <v/>
      </c>
      <c r="BE28" s="837" t="str">
        <f t="shared" ref="BE28" si="34">IF(OR(C28="",L28="",Q28="",T28="",Y28="",AB28="",AE28=""),"",ROUND(Y28,0))</f>
        <v/>
      </c>
      <c r="BF28" s="843" t="str">
        <f>IF(C28="","",IF(INDEX(CMEHVAC_N[EUL],MATCH(C28,CMEHVAC_N[Proj Desc 1],0))="","",INDEX(CMEHVAC_N[EUL],MATCH(C28,CMEHVAC_N[Proj Desc 1],0))))</f>
        <v/>
      </c>
      <c r="BG28" s="845" t="str">
        <f>IF(C28="","",IF(INDEX(CMEHVAC_N[End Use Category],MATCH(C28,CMEHVAC_N[Proj Desc 1],0))="","",INDEX(CMEHVAC_N[End Use Category],MATCH(C28,CMEHVAC_N[Proj Desc 1],0))))</f>
        <v/>
      </c>
      <c r="BH28" s="1065" t="str">
        <f>IFERROR(IF(OR(C28="",L28="",Q28="",T28="",Y28="",AB28="",AE28=""),"",ROUND(AK28*INDEX(ENDUSEALL[Factor],MATCH(BG28,ENDUSEALL[End Use to Coincident Peak Demand Factors],0)),4)),"")</f>
        <v/>
      </c>
      <c r="BI28" s="874"/>
      <c r="BJ28" s="787" t="str">
        <f>IFERROR(ROUND(AK28*BK28,2),"")</f>
        <v/>
      </c>
      <c r="BK28" s="1067" t="str">
        <f>_xlfn.LET(_xlpm.ROWS,MATCH(BG28,ENDUSEALL[End Use to Coincident Peak Demand Factors],0),IFERROR(INDEX(IF(AND(ACTIVEBONUS_N = TRUE,INDEX(ENDUSEALL[Bonus Rate ($/kWh)],_xlpm.ROWS)&lt;&gt;""),ENDUSEALL[Bonus Rate ($/kWh)],ENDUSEALL[Rate ($/kWh)]),_xlpm.ROWS),""))</f>
        <v/>
      </c>
      <c r="BL28" s="829"/>
      <c r="BM28" s="829"/>
      <c r="BN28" s="1068" t="str">
        <f>_xlfn.LET(_xlpm.BONUS_RATE,INDEX(ENDUSEALL[Bonus Rate ($/kWh)],MATCH(BG28,ENDUSEALL[End Use to Coincident Peak Demand Factors],0)),_xlpm.BASE_RATE,INDEX(ENDUSEALL[Rate ($/kWh)],MATCH(BG28,ENDUSEALL[End Use to Coincident Peak Demand Factors],0)),IFERROR(IF(OR(ACTIVEBONUS_N &lt;&gt; TRUE,ISNUMBER(AN28) = FALSE,BS28 &lt;&gt; ""),"",AN28-(AK28*_xlpm.BASE_RATE)),""))</f>
        <v/>
      </c>
      <c r="BO28" s="1070" t="str">
        <f>IF(OR(C28="",L28="",Q28="",T28="",Y28="",AB28="",AE28=""),"",IF(BQ28&lt;&gt;"",SPILLOVERNUMBER,INDEX(CMEHVAC_N[Measure Number],MATCH(C28,CMEHVAC_N[Proj Desc 1],0))))</f>
        <v/>
      </c>
      <c r="BP28" s="1072" t="str">
        <f>IFERROR(
IF(BS28="",
IF(AND(ROUND(AN28/AH28,2)=INCCOSTCAP,BJ28/AH28&gt;INCCOSTCAP),
"100% Incremental Cost",
IF(BK28&lt;KWHRATEMIN,
"kWh Incentive Rate Min",
IF(BK28&gt;KWHRATEMAX,
"kWh Incentive Rate Cap",
IF(AN28=BN28,
"Bonus Incentive",
"kWh Incentive"
)))),""),
"")</f>
        <v/>
      </c>
      <c r="BQ28" s="815" t="str">
        <f ca="1">IFERROR(IF(EXPIRATION&lt;&gt;"",PROJSTATEXP,
IF(BS28&gt;0,"",
IF(BD28-BE28&lt;=0,MEASURESAVE,
IF(OR(N02S03F14="",N02S03F14="Select Rate Code",N02S03F14=0),MEASURERATE,
IF(AND(ISNUMBER(SEARCH("Others",C28)),OR(BF28="",BG28="")),MEASURESUBMIT,
IF(AH28&lt;=0,MEASUREINCR,
IF(PAYPROJ_N&lt;PAYBACKREQ,PROJECTSTATPAYBACK,
IF(CBPROJ_N&lt;CBREQ,PROJECTSTATCB,"")))))))),MEASURESUBMIT)</f>
        <v>Submit for Review</v>
      </c>
      <c r="BR28" s="787" t="str">
        <f>IFERROR(IF(OR(C28="",L28="",Q28="",T28="",Y28="",AB28="",AE28=""),"",
ROUND(((1+ELOSS)*((AK28*INDEX(ELECCB[NPV AEC $/kWh],MATCH(BF28,ELECCB[Year Number],1)))+(BH28*INDEX(ELECCB[NPV ACC $/kW],MATCH(BF28,ELECCB[Year Number],1))))),2)),0)</f>
        <v/>
      </c>
      <c r="BS28" s="853"/>
    </row>
    <row r="29" spans="1:71" ht="15.95" customHeight="1">
      <c r="B29" s="800"/>
      <c r="C29" s="1091"/>
      <c r="D29" s="1092"/>
      <c r="E29" s="1092"/>
      <c r="F29" s="1092"/>
      <c r="G29" s="1092"/>
      <c r="H29" s="1092"/>
      <c r="I29" s="1092"/>
      <c r="J29" s="1092"/>
      <c r="K29" s="1092"/>
      <c r="L29" s="1081"/>
      <c r="M29" s="1081"/>
      <c r="N29" s="1081"/>
      <c r="O29" s="1081"/>
      <c r="P29" s="1082"/>
      <c r="Q29" s="1077"/>
      <c r="R29" s="1078"/>
      <c r="S29" s="1078"/>
      <c r="T29" s="1081"/>
      <c r="U29" s="1081"/>
      <c r="V29" s="1081"/>
      <c r="W29" s="1081"/>
      <c r="X29" s="1082"/>
      <c r="Y29" s="1088"/>
      <c r="Z29" s="1078"/>
      <c r="AA29" s="1078"/>
      <c r="AB29" s="1093"/>
      <c r="AC29" s="1093"/>
      <c r="AD29" s="1094"/>
      <c r="AE29" s="1095"/>
      <c r="AF29" s="1096"/>
      <c r="AG29" s="1096"/>
      <c r="AH29" s="1105"/>
      <c r="AI29" s="1105"/>
      <c r="AJ29" s="1106"/>
      <c r="AK29" s="832"/>
      <c r="AL29" s="832"/>
      <c r="AM29" s="832"/>
      <c r="AN29" s="1100"/>
      <c r="AO29" s="1101"/>
      <c r="AP29" s="1101"/>
      <c r="AQ29" s="1102"/>
      <c r="AY29" s="836"/>
      <c r="AZ29" s="836"/>
      <c r="BA29" s="1074"/>
      <c r="BB29" s="850"/>
      <c r="BC29" s="850"/>
      <c r="BD29" s="838"/>
      <c r="BE29" s="838"/>
      <c r="BF29" s="844"/>
      <c r="BG29" s="846"/>
      <c r="BH29" s="837"/>
      <c r="BI29" s="875"/>
      <c r="BJ29" s="788"/>
      <c r="BK29" s="787"/>
      <c r="BL29" s="830"/>
      <c r="BM29" s="830"/>
      <c r="BN29" s="1069"/>
      <c r="BO29" s="1071"/>
      <c r="BP29" s="815"/>
      <c r="BQ29" s="816"/>
      <c r="BR29" s="788"/>
      <c r="BS29" s="854"/>
    </row>
    <row r="30" spans="1:71" ht="15.95" customHeight="1">
      <c r="B30" s="800">
        <v>7</v>
      </c>
      <c r="C30" s="1091"/>
      <c r="D30" s="1092"/>
      <c r="E30" s="1092"/>
      <c r="F30" s="1092"/>
      <c r="G30" s="1092"/>
      <c r="H30" s="1092"/>
      <c r="I30" s="1092"/>
      <c r="J30" s="1092"/>
      <c r="K30" s="1092"/>
      <c r="L30" s="1083"/>
      <c r="M30" s="1083"/>
      <c r="N30" s="1083"/>
      <c r="O30" s="1083"/>
      <c r="P30" s="1084"/>
      <c r="Q30" s="1085"/>
      <c r="R30" s="1086"/>
      <c r="S30" s="1086"/>
      <c r="T30" s="1083"/>
      <c r="U30" s="1083"/>
      <c r="V30" s="1083"/>
      <c r="W30" s="1083"/>
      <c r="X30" s="1084"/>
      <c r="Y30" s="1089"/>
      <c r="Z30" s="1086"/>
      <c r="AA30" s="1086"/>
      <c r="AB30" s="1093"/>
      <c r="AC30" s="1093"/>
      <c r="AD30" s="1094"/>
      <c r="AE30" s="1095"/>
      <c r="AF30" s="1096"/>
      <c r="AG30" s="1096"/>
      <c r="AH30" s="1103" t="str">
        <f t="shared" ref="AH30" si="35">IF(OR(C30="",L30="",Q30="",T30="",Y30="",AB30="",AE30=""),"",ROUND(AE30-AB30,2))</f>
        <v/>
      </c>
      <c r="AI30" s="1103"/>
      <c r="AJ30" s="1104"/>
      <c r="AK30" s="831" t="str">
        <f t="shared" ref="AK30" si="36">IF(OR(C30="",L30="",Q30="",T30="",Y30="",AB30="",AE30=""),"",IF(BD30-BE30&lt;=0,0,ROUND(BD30-BE30,0)))</f>
        <v/>
      </c>
      <c r="AL30" s="831"/>
      <c r="AM30" s="831"/>
      <c r="AN30" s="1097" t="str">
        <f>IF(OR(C30="",L30="",Q30="",T30="",Y30="",AB30="",AE30=""),"",
IF(BQ30&lt;&gt;"",BQ30,IF(BS30&gt;0,BS30,
IF(ACTIVEBLOCK_N="Yes",ROUND(MIN(AH30*INCCOSTCAP,AK30*BLOCKBIDRATE),2),
ROUND(MIN(AH30*INCCOSTCAP,BJ30),2))
)))</f>
        <v/>
      </c>
      <c r="AO30" s="1098"/>
      <c r="AP30" s="1098"/>
      <c r="AQ30" s="1099"/>
      <c r="AY30" s="835" t="str">
        <f t="shared" ref="AY30" si="37">IFERROR(IF(OR(C30="",L30="",Q30="",T30="",Y30="",AB30="",AE30=""),"",ROUND(BR30/AH30,2)),0)</f>
        <v/>
      </c>
      <c r="AZ30" s="835" t="str">
        <f>IFERROR(AH30/N02S03F14/AK30,"")</f>
        <v/>
      </c>
      <c r="BA30" s="1073" t="str">
        <f>IF(C30="","",INDEX(CMEHVAC_N[Unit of Measure],MATCH(C30,CMEHVAC_N[Proj Desc 1],0)))</f>
        <v/>
      </c>
      <c r="BB30" s="849" t="str">
        <f t="shared" ref="BB30" si="38">IF(AK30&lt;&gt;"","Missing!","")</f>
        <v/>
      </c>
      <c r="BC30" s="849" t="str">
        <f t="shared" ref="BC30" si="39">IF(AK30&lt;&gt;"","Missing!","")</f>
        <v/>
      </c>
      <c r="BD30" s="837" t="str">
        <f t="shared" ref="BD30" si="40">IF(OR(C30="",L30="",Q30="",T30="",Y30="",AB30="",AE30=""),"",ROUND(Q30,0))</f>
        <v/>
      </c>
      <c r="BE30" s="837" t="str">
        <f t="shared" ref="BE30" si="41">IF(OR(C30="",L30="",Q30="",T30="",Y30="",AB30="",AE30=""),"",ROUND(Y30,0))</f>
        <v/>
      </c>
      <c r="BF30" s="843" t="str">
        <f>IF(C30="","",IF(INDEX(CMEHVAC_N[EUL],MATCH(C30,CMEHVAC_N[Proj Desc 1],0))="","",INDEX(CMEHVAC_N[EUL],MATCH(C30,CMEHVAC_N[Proj Desc 1],0))))</f>
        <v/>
      </c>
      <c r="BG30" s="845" t="str">
        <f>IF(C30="","",IF(INDEX(CMEHVAC_N[End Use Category],MATCH(C30,CMEHVAC_N[Proj Desc 1],0))="","",INDEX(CMEHVAC_N[End Use Category],MATCH(C30,CMEHVAC_N[Proj Desc 1],0))))</f>
        <v/>
      </c>
      <c r="BH30" s="1065" t="str">
        <f>IFERROR(IF(OR(C30="",L30="",Q30="",T30="",Y30="",AB30="",AE30=""),"",ROUND(AK30*INDEX(ENDUSEALL[Factor],MATCH(BG30,ENDUSEALL[End Use to Coincident Peak Demand Factors],0)),4)),"")</f>
        <v/>
      </c>
      <c r="BI30" s="874"/>
      <c r="BJ30" s="787" t="str">
        <f>IFERROR(ROUND(AK30*BK30,2),"")</f>
        <v/>
      </c>
      <c r="BK30" s="1067" t="str">
        <f>_xlfn.LET(_xlpm.ROWS,MATCH(BG30,ENDUSEALL[End Use to Coincident Peak Demand Factors],0),IFERROR(INDEX(IF(AND(ACTIVEBONUS_N = TRUE,INDEX(ENDUSEALL[Bonus Rate ($/kWh)],_xlpm.ROWS)&lt;&gt;""),ENDUSEALL[Bonus Rate ($/kWh)],ENDUSEALL[Rate ($/kWh)]),_xlpm.ROWS),""))</f>
        <v/>
      </c>
      <c r="BL30" s="829"/>
      <c r="BM30" s="829"/>
      <c r="BN30" s="1068" t="str">
        <f>_xlfn.LET(_xlpm.BONUS_RATE,INDEX(ENDUSEALL[Bonus Rate ($/kWh)],MATCH(BG30,ENDUSEALL[End Use to Coincident Peak Demand Factors],0)),_xlpm.BASE_RATE,INDEX(ENDUSEALL[Rate ($/kWh)],MATCH(BG30,ENDUSEALL[End Use to Coincident Peak Demand Factors],0)),IFERROR(IF(OR(ACTIVEBONUS_N &lt;&gt; TRUE,ISNUMBER(AN30) = FALSE,BS30 &lt;&gt; ""),"",AN30-(AK30*_xlpm.BASE_RATE)),""))</f>
        <v/>
      </c>
      <c r="BO30" s="1070" t="str">
        <f>IF(OR(C30="",L30="",Q30="",T30="",Y30="",AB30="",AE30=""),"",IF(BQ30&lt;&gt;"",SPILLOVERNUMBER,INDEX(CMEHVAC_N[Measure Number],MATCH(C30,CMEHVAC_N[Proj Desc 1],0))))</f>
        <v/>
      </c>
      <c r="BP30" s="1072" t="str">
        <f>IFERROR(
IF(BS30="",
IF(AND(ROUND(AN30/AH30,2)=INCCOSTCAP,BJ30/AH30&gt;INCCOSTCAP),
"100% Incremental Cost",
IF(BK30&lt;KWHRATEMIN,
"kWh Incentive Rate Min",
IF(BK30&gt;KWHRATEMAX,
"kWh Incentive Rate Cap",
IF(AN30=BN30,
"Bonus Incentive",
"kWh Incentive"
)))),""),
"")</f>
        <v/>
      </c>
      <c r="BQ30" s="815" t="str">
        <f ca="1">IFERROR(IF(EXPIRATION&lt;&gt;"",PROJSTATEXP,
IF(BS30&gt;0,"",
IF(BD30-BE30&lt;=0,MEASURESAVE,
IF(OR(N02S03F14="",N02S03F14="Select Rate Code",N02S03F14=0),MEASURERATE,
IF(AND(ISNUMBER(SEARCH("Others",C30)),OR(BF30="",BG30="")),MEASURESUBMIT,
IF(AH30&lt;=0,MEASUREINCR,
IF(PAYPROJ_N&lt;PAYBACKREQ,PROJECTSTATPAYBACK,
IF(CBPROJ_N&lt;CBREQ,PROJECTSTATCB,"")))))))),MEASURESUBMIT)</f>
        <v>Submit for Review</v>
      </c>
      <c r="BR30" s="787" t="str">
        <f>IFERROR(IF(OR(C30="",L30="",Q30="",T30="",Y30="",AB30="",AE30=""),"",
ROUND(((1+ELOSS)*((AK30*INDEX(ELECCB[NPV AEC $/kWh],MATCH(BF30,ELECCB[Year Number],1)))+(BH30*INDEX(ELECCB[NPV ACC $/kW],MATCH(BF30,ELECCB[Year Number],1))))),2)),0)</f>
        <v/>
      </c>
      <c r="BS30" s="853"/>
    </row>
    <row r="31" spans="1:71" ht="15.95" customHeight="1">
      <c r="B31" s="800"/>
      <c r="C31" s="1091"/>
      <c r="D31" s="1092"/>
      <c r="E31" s="1092"/>
      <c r="F31" s="1092"/>
      <c r="G31" s="1092"/>
      <c r="H31" s="1092"/>
      <c r="I31" s="1092"/>
      <c r="J31" s="1092"/>
      <c r="K31" s="1092"/>
      <c r="L31" s="1081"/>
      <c r="M31" s="1081"/>
      <c r="N31" s="1081"/>
      <c r="O31" s="1081"/>
      <c r="P31" s="1082"/>
      <c r="Q31" s="1077"/>
      <c r="R31" s="1078"/>
      <c r="S31" s="1078"/>
      <c r="T31" s="1081"/>
      <c r="U31" s="1081"/>
      <c r="V31" s="1081"/>
      <c r="W31" s="1081"/>
      <c r="X31" s="1082"/>
      <c r="Y31" s="1088"/>
      <c r="Z31" s="1078"/>
      <c r="AA31" s="1078"/>
      <c r="AB31" s="1093"/>
      <c r="AC31" s="1093"/>
      <c r="AD31" s="1094"/>
      <c r="AE31" s="1095"/>
      <c r="AF31" s="1096"/>
      <c r="AG31" s="1096"/>
      <c r="AH31" s="1105"/>
      <c r="AI31" s="1105"/>
      <c r="AJ31" s="1106"/>
      <c r="AK31" s="832"/>
      <c r="AL31" s="832"/>
      <c r="AM31" s="832"/>
      <c r="AN31" s="1100"/>
      <c r="AO31" s="1101"/>
      <c r="AP31" s="1101"/>
      <c r="AQ31" s="1102"/>
      <c r="AY31" s="836"/>
      <c r="AZ31" s="836"/>
      <c r="BA31" s="1074"/>
      <c r="BB31" s="850"/>
      <c r="BC31" s="850"/>
      <c r="BD31" s="838"/>
      <c r="BE31" s="838"/>
      <c r="BF31" s="844"/>
      <c r="BG31" s="846"/>
      <c r="BH31" s="837"/>
      <c r="BI31" s="875"/>
      <c r="BJ31" s="788"/>
      <c r="BK31" s="787"/>
      <c r="BL31" s="830"/>
      <c r="BM31" s="830"/>
      <c r="BN31" s="1069"/>
      <c r="BO31" s="1071"/>
      <c r="BP31" s="815"/>
      <c r="BQ31" s="816"/>
      <c r="BR31" s="788"/>
      <c r="BS31" s="854"/>
    </row>
    <row r="32" spans="1:71" ht="15.95" customHeight="1">
      <c r="B32" s="800">
        <v>8</v>
      </c>
      <c r="C32" s="1091"/>
      <c r="D32" s="1092"/>
      <c r="E32" s="1092"/>
      <c r="F32" s="1092"/>
      <c r="G32" s="1092"/>
      <c r="H32" s="1092"/>
      <c r="I32" s="1092"/>
      <c r="J32" s="1092"/>
      <c r="K32" s="1092"/>
      <c r="L32" s="1083"/>
      <c r="M32" s="1083"/>
      <c r="N32" s="1083"/>
      <c r="O32" s="1083"/>
      <c r="P32" s="1084"/>
      <c r="Q32" s="1085"/>
      <c r="R32" s="1086"/>
      <c r="S32" s="1086"/>
      <c r="T32" s="1083"/>
      <c r="U32" s="1083"/>
      <c r="V32" s="1083"/>
      <c r="W32" s="1083"/>
      <c r="X32" s="1084"/>
      <c r="Y32" s="1089"/>
      <c r="Z32" s="1086"/>
      <c r="AA32" s="1086"/>
      <c r="AB32" s="1093"/>
      <c r="AC32" s="1093"/>
      <c r="AD32" s="1094"/>
      <c r="AE32" s="1095"/>
      <c r="AF32" s="1096"/>
      <c r="AG32" s="1096"/>
      <c r="AH32" s="1103" t="str">
        <f t="shared" ref="AH32" si="42">IF(OR(C32="",L32="",Q32="",T32="",Y32="",AB32="",AE32=""),"",ROUND(AE32-AB32,2))</f>
        <v/>
      </c>
      <c r="AI32" s="1103"/>
      <c r="AJ32" s="1104"/>
      <c r="AK32" s="831" t="str">
        <f t="shared" ref="AK32" si="43">IF(OR(C32="",L32="",Q32="",T32="",Y32="",AB32="",AE32=""),"",IF(BD32-BE32&lt;=0,0,ROUND(BD32-BE32,0)))</f>
        <v/>
      </c>
      <c r="AL32" s="831"/>
      <c r="AM32" s="831"/>
      <c r="AN32" s="1097" t="str">
        <f>IF(OR(C32="",L32="",Q32="",T32="",Y32="",AB32="",AE32=""),"",
IF(BQ32&lt;&gt;"",BQ32,IF(BS32&gt;0,BS32,
IF(ACTIVEBLOCK_N="Yes",ROUND(MIN(AH32*INCCOSTCAP,AK32*BLOCKBIDRATE),2),
ROUND(MIN(AH32*INCCOSTCAP,BJ32),2))
)))</f>
        <v/>
      </c>
      <c r="AO32" s="1098"/>
      <c r="AP32" s="1098"/>
      <c r="AQ32" s="1099"/>
      <c r="AY32" s="835" t="str">
        <f t="shared" ref="AY32" si="44">IFERROR(IF(OR(C32="",L32="",Q32="",T32="",Y32="",AB32="",AE32=""),"",ROUND(BR32/AH32,2)),0)</f>
        <v/>
      </c>
      <c r="AZ32" s="835" t="str">
        <f>IFERROR(AH32/N02S03F14/AK32,"")</f>
        <v/>
      </c>
      <c r="BA32" s="1073" t="str">
        <f>IF(C32="","",INDEX(CMEHVAC_N[Unit of Measure],MATCH(C32,CMEHVAC_N[Proj Desc 1],0)))</f>
        <v/>
      </c>
      <c r="BB32" s="849" t="str">
        <f t="shared" ref="BB32" si="45">IF(AK32&lt;&gt;"","Missing!","")</f>
        <v/>
      </c>
      <c r="BC32" s="849" t="str">
        <f t="shared" ref="BC32" si="46">IF(AK32&lt;&gt;"","Missing!","")</f>
        <v/>
      </c>
      <c r="BD32" s="837" t="str">
        <f t="shared" ref="BD32" si="47">IF(OR(C32="",L32="",Q32="",T32="",Y32="",AB32="",AE32=""),"",ROUND(Q32,0))</f>
        <v/>
      </c>
      <c r="BE32" s="837" t="str">
        <f t="shared" ref="BE32" si="48">IF(OR(C32="",L32="",Q32="",T32="",Y32="",AB32="",AE32=""),"",ROUND(Y32,0))</f>
        <v/>
      </c>
      <c r="BF32" s="843" t="str">
        <f>IF(C32="","",IF(INDEX(CMEHVAC_N[EUL],MATCH(C32,CMEHVAC_N[Proj Desc 1],0))="","",INDEX(CMEHVAC_N[EUL],MATCH(C32,CMEHVAC_N[Proj Desc 1],0))))</f>
        <v/>
      </c>
      <c r="BG32" s="845" t="str">
        <f>IF(C32="","",IF(INDEX(CMEHVAC_N[End Use Category],MATCH(C32,CMEHVAC_N[Proj Desc 1],0))="","",INDEX(CMEHVAC_N[End Use Category],MATCH(C32,CMEHVAC_N[Proj Desc 1],0))))</f>
        <v/>
      </c>
      <c r="BH32" s="1065" t="str">
        <f>IFERROR(IF(OR(C32="",L32="",Q32="",T32="",Y32="",AB32="",AE32=""),"",ROUND(AK32*INDEX(ENDUSEALL[Factor],MATCH(BG32,ENDUSEALL[End Use to Coincident Peak Demand Factors],0)),4)),"")</f>
        <v/>
      </c>
      <c r="BI32" s="874"/>
      <c r="BJ32" s="787" t="str">
        <f>IFERROR(ROUND(AK32*BK32,2),"")</f>
        <v/>
      </c>
      <c r="BK32" s="1067" t="str">
        <f>_xlfn.LET(_xlpm.ROWS,MATCH(BG32,ENDUSEALL[End Use to Coincident Peak Demand Factors],0),IFERROR(INDEX(IF(AND(ACTIVEBONUS_N = TRUE,INDEX(ENDUSEALL[Bonus Rate ($/kWh)],_xlpm.ROWS)&lt;&gt;""),ENDUSEALL[Bonus Rate ($/kWh)],ENDUSEALL[Rate ($/kWh)]),_xlpm.ROWS),""))</f>
        <v/>
      </c>
      <c r="BL32" s="829"/>
      <c r="BM32" s="829"/>
      <c r="BN32" s="1068" t="str">
        <f>_xlfn.LET(_xlpm.BONUS_RATE,INDEX(ENDUSEALL[Bonus Rate ($/kWh)],MATCH(BG32,ENDUSEALL[End Use to Coincident Peak Demand Factors],0)),_xlpm.BASE_RATE,INDEX(ENDUSEALL[Rate ($/kWh)],MATCH(BG32,ENDUSEALL[End Use to Coincident Peak Demand Factors],0)),IFERROR(IF(OR(ACTIVEBONUS_N &lt;&gt; TRUE,ISNUMBER(AN32) = FALSE,BS32 &lt;&gt; ""),"",AN32-(AK32*_xlpm.BASE_RATE)),""))</f>
        <v/>
      </c>
      <c r="BO32" s="1070" t="str">
        <f>IF(OR(C32="",L32="",Q32="",T32="",Y32="",AB32="",AE32=""),"",IF(BQ32&lt;&gt;"",SPILLOVERNUMBER,INDEX(CMEHVAC_N[Measure Number],MATCH(C32,CMEHVAC_N[Proj Desc 1],0))))</f>
        <v/>
      </c>
      <c r="BP32" s="1072" t="str">
        <f>IFERROR(
IF(BS32="",
IF(AND(ROUND(AN32/AH32,2)=INCCOSTCAP,BJ32/AH32&gt;INCCOSTCAP),
"100% Incremental Cost",
IF(BK32&lt;KWHRATEMIN,
"kWh Incentive Rate Min",
IF(BK32&gt;KWHRATEMAX,
"kWh Incentive Rate Cap",
IF(AN32=BN32,
"Bonus Incentive",
"kWh Incentive"
)))),""),
"")</f>
        <v/>
      </c>
      <c r="BQ32" s="815" t="str">
        <f ca="1">IFERROR(IF(EXPIRATION&lt;&gt;"",PROJSTATEXP,
IF(BS32&gt;0,"",
IF(BD32-BE32&lt;=0,MEASURESAVE,
IF(OR(N02S03F14="",N02S03F14="Select Rate Code",N02S03F14=0),MEASURERATE,
IF(AND(ISNUMBER(SEARCH("Others",C32)),OR(BF32="",BG32="")),MEASURESUBMIT,
IF(AH32&lt;=0,MEASUREINCR,
IF(PAYPROJ_N&lt;PAYBACKREQ,PROJECTSTATPAYBACK,
IF(CBPROJ_N&lt;CBREQ,PROJECTSTATCB,"")))))))),MEASURESUBMIT)</f>
        <v>Submit for Review</v>
      </c>
      <c r="BR32" s="787" t="str">
        <f>IFERROR(IF(OR(C32="",L32="",Q32="",T32="",Y32="",AB32="",AE32=""),"",
ROUND(((1+ELOSS)*((AK32*INDEX(ELECCB[NPV AEC $/kWh],MATCH(BF32,ELECCB[Year Number],1)))+(BH32*INDEX(ELECCB[NPV ACC $/kW],MATCH(BF32,ELECCB[Year Number],1))))),2)),0)</f>
        <v/>
      </c>
      <c r="BS32" s="853"/>
    </row>
    <row r="33" spans="2:71" ht="15.95" customHeight="1">
      <c r="B33" s="800"/>
      <c r="C33" s="1091"/>
      <c r="D33" s="1092"/>
      <c r="E33" s="1092"/>
      <c r="F33" s="1092"/>
      <c r="G33" s="1092"/>
      <c r="H33" s="1092"/>
      <c r="I33" s="1092"/>
      <c r="J33" s="1092"/>
      <c r="K33" s="1092"/>
      <c r="L33" s="1081"/>
      <c r="M33" s="1081"/>
      <c r="N33" s="1081"/>
      <c r="O33" s="1081"/>
      <c r="P33" s="1082"/>
      <c r="Q33" s="1077"/>
      <c r="R33" s="1078"/>
      <c r="S33" s="1078"/>
      <c r="T33" s="1081"/>
      <c r="U33" s="1081"/>
      <c r="V33" s="1081"/>
      <c r="W33" s="1081"/>
      <c r="X33" s="1082"/>
      <c r="Y33" s="1088"/>
      <c r="Z33" s="1078"/>
      <c r="AA33" s="1078"/>
      <c r="AB33" s="1093"/>
      <c r="AC33" s="1093"/>
      <c r="AD33" s="1094"/>
      <c r="AE33" s="1095"/>
      <c r="AF33" s="1096"/>
      <c r="AG33" s="1096"/>
      <c r="AH33" s="1105"/>
      <c r="AI33" s="1105"/>
      <c r="AJ33" s="1106"/>
      <c r="AK33" s="832"/>
      <c r="AL33" s="832"/>
      <c r="AM33" s="832"/>
      <c r="AN33" s="1100"/>
      <c r="AO33" s="1101"/>
      <c r="AP33" s="1101"/>
      <c r="AQ33" s="1102"/>
      <c r="AY33" s="836"/>
      <c r="AZ33" s="836"/>
      <c r="BA33" s="1074"/>
      <c r="BB33" s="850"/>
      <c r="BC33" s="850"/>
      <c r="BD33" s="838"/>
      <c r="BE33" s="838"/>
      <c r="BF33" s="844"/>
      <c r="BG33" s="846"/>
      <c r="BH33" s="837"/>
      <c r="BI33" s="875"/>
      <c r="BJ33" s="788"/>
      <c r="BK33" s="787"/>
      <c r="BL33" s="830"/>
      <c r="BM33" s="830"/>
      <c r="BN33" s="1069"/>
      <c r="BO33" s="1071"/>
      <c r="BP33" s="815"/>
      <c r="BQ33" s="816"/>
      <c r="BR33" s="788"/>
      <c r="BS33" s="854"/>
    </row>
    <row r="34" spans="2:71" ht="15.95" customHeight="1">
      <c r="B34" s="800">
        <v>9</v>
      </c>
      <c r="C34" s="1091"/>
      <c r="D34" s="1092"/>
      <c r="E34" s="1092"/>
      <c r="F34" s="1092"/>
      <c r="G34" s="1092"/>
      <c r="H34" s="1092"/>
      <c r="I34" s="1092"/>
      <c r="J34" s="1092"/>
      <c r="K34" s="1092"/>
      <c r="L34" s="1083"/>
      <c r="M34" s="1083"/>
      <c r="N34" s="1083"/>
      <c r="O34" s="1083"/>
      <c r="P34" s="1084"/>
      <c r="Q34" s="1085"/>
      <c r="R34" s="1086"/>
      <c r="S34" s="1086"/>
      <c r="T34" s="1083"/>
      <c r="U34" s="1083"/>
      <c r="V34" s="1083"/>
      <c r="W34" s="1083"/>
      <c r="X34" s="1084"/>
      <c r="Y34" s="1089"/>
      <c r="Z34" s="1086"/>
      <c r="AA34" s="1086"/>
      <c r="AB34" s="1093"/>
      <c r="AC34" s="1093"/>
      <c r="AD34" s="1094"/>
      <c r="AE34" s="1095"/>
      <c r="AF34" s="1096"/>
      <c r="AG34" s="1096"/>
      <c r="AH34" s="1103" t="str">
        <f t="shared" ref="AH34" si="49">IF(OR(C34="",L34="",Q34="",T34="",Y34="",AB34="",AE34=""),"",ROUND(AE34-AB34,2))</f>
        <v/>
      </c>
      <c r="AI34" s="1103"/>
      <c r="AJ34" s="1104"/>
      <c r="AK34" s="831" t="str">
        <f t="shared" ref="AK34" si="50">IF(OR(C34="",L34="",Q34="",T34="",Y34="",AB34="",AE34=""),"",IF(BD34-BE34&lt;=0,0,ROUND(BD34-BE34,0)))</f>
        <v/>
      </c>
      <c r="AL34" s="831"/>
      <c r="AM34" s="831"/>
      <c r="AN34" s="1097" t="str">
        <f>IF(OR(C34="",L34="",Q34="",T34="",Y34="",AB34="",AE34=""),"",
IF(BQ34&lt;&gt;"",BQ34,IF(BS34&gt;0,BS34,
IF(ACTIVEBLOCK_N="Yes",ROUND(MIN(AH34*INCCOSTCAP,AK34*BLOCKBIDRATE),2),
ROUND(MIN(AH34*INCCOSTCAP,BJ34),2))
)))</f>
        <v/>
      </c>
      <c r="AO34" s="1098"/>
      <c r="AP34" s="1098"/>
      <c r="AQ34" s="1099"/>
      <c r="AY34" s="835" t="str">
        <f t="shared" ref="AY34" si="51">IFERROR(IF(OR(C34="",L34="",Q34="",T34="",Y34="",AB34="",AE34=""),"",ROUND(BR34/AH34,2)),0)</f>
        <v/>
      </c>
      <c r="AZ34" s="835" t="str">
        <f>IFERROR(AH34/N02S03F14/AK34,"")</f>
        <v/>
      </c>
      <c r="BA34" s="1073" t="str">
        <f>IF(C34="","",INDEX(CMEHVAC_N[Unit of Measure],MATCH(C34,CMEHVAC_N[Proj Desc 1],0)))</f>
        <v/>
      </c>
      <c r="BB34" s="849" t="str">
        <f t="shared" ref="BB34" si="52">IF(AK34&lt;&gt;"","Missing!","")</f>
        <v/>
      </c>
      <c r="BC34" s="849" t="str">
        <f t="shared" ref="BC34" si="53">IF(AK34&lt;&gt;"","Missing!","")</f>
        <v/>
      </c>
      <c r="BD34" s="837" t="str">
        <f t="shared" ref="BD34" si="54">IF(OR(C34="",L34="",Q34="",T34="",Y34="",AB34="",AE34=""),"",ROUND(Q34,0))</f>
        <v/>
      </c>
      <c r="BE34" s="837" t="str">
        <f t="shared" ref="BE34" si="55">IF(OR(C34="",L34="",Q34="",T34="",Y34="",AB34="",AE34=""),"",ROUND(Y34,0))</f>
        <v/>
      </c>
      <c r="BF34" s="843" t="str">
        <f>IF(C34="","",IF(INDEX(CMEHVAC_N[EUL],MATCH(C34,CMEHVAC_N[Proj Desc 1],0))="","",INDEX(CMEHVAC_N[EUL],MATCH(C34,CMEHVAC_N[Proj Desc 1],0))))</f>
        <v/>
      </c>
      <c r="BG34" s="845" t="str">
        <f>IF(C34="","",IF(INDEX(CMEHVAC_N[End Use Category],MATCH(C34,CMEHVAC_N[Proj Desc 1],0))="","",INDEX(CMEHVAC_N[End Use Category],MATCH(C34,CMEHVAC_N[Proj Desc 1],0))))</f>
        <v/>
      </c>
      <c r="BH34" s="1065" t="str">
        <f>IFERROR(IF(OR(C34="",L34="",Q34="",T34="",Y34="",AB34="",AE34=""),"",ROUND(AK34*INDEX(ENDUSEALL[Factor],MATCH(BG34,ENDUSEALL[End Use to Coincident Peak Demand Factors],0)),4)),"")</f>
        <v/>
      </c>
      <c r="BI34" s="874"/>
      <c r="BJ34" s="787" t="str">
        <f>IFERROR(ROUND(AK34*BK34,2),"")</f>
        <v/>
      </c>
      <c r="BK34" s="1067" t="str">
        <f>_xlfn.LET(_xlpm.ROWS,MATCH(BG34,ENDUSEALL[End Use to Coincident Peak Demand Factors],0),IFERROR(INDEX(IF(AND(ACTIVEBONUS_N = TRUE,INDEX(ENDUSEALL[Bonus Rate ($/kWh)],_xlpm.ROWS)&lt;&gt;""),ENDUSEALL[Bonus Rate ($/kWh)],ENDUSEALL[Rate ($/kWh)]),_xlpm.ROWS),""))</f>
        <v/>
      </c>
      <c r="BL34" s="829"/>
      <c r="BM34" s="829"/>
      <c r="BN34" s="1068" t="str">
        <f>_xlfn.LET(_xlpm.BONUS_RATE,INDEX(ENDUSEALL[Bonus Rate ($/kWh)],MATCH(BG34,ENDUSEALL[End Use to Coincident Peak Demand Factors],0)),_xlpm.BASE_RATE,INDEX(ENDUSEALL[Rate ($/kWh)],MATCH(BG34,ENDUSEALL[End Use to Coincident Peak Demand Factors],0)),IFERROR(IF(OR(ACTIVEBONUS_N &lt;&gt; TRUE,ISNUMBER(AN34) = FALSE,BS34 &lt;&gt; ""),"",AN34-(AK34*_xlpm.BASE_RATE)),""))</f>
        <v/>
      </c>
      <c r="BO34" s="1070" t="str">
        <f>IF(OR(C34="",L34="",Q34="",T34="",Y34="",AB34="",AE34=""),"",IF(BQ34&lt;&gt;"",SPILLOVERNUMBER,INDEX(CMEHVAC_N[Measure Number],MATCH(C34,CMEHVAC_N[Proj Desc 1],0))))</f>
        <v/>
      </c>
      <c r="BP34" s="1072" t="str">
        <f>IFERROR(
IF(BS34="",
IF(AND(ROUND(AN34/AH34,2)=INCCOSTCAP,BJ34/AH34&gt;INCCOSTCAP),
"100% Incremental Cost",
IF(BK34&lt;KWHRATEMIN,
"kWh Incentive Rate Min",
IF(BK34&gt;KWHRATEMAX,
"kWh Incentive Rate Cap",
IF(AN34=BN34,
"Bonus Incentive",
"kWh Incentive"
)))),""),
"")</f>
        <v/>
      </c>
      <c r="BQ34" s="815" t="str">
        <f ca="1">IFERROR(IF(EXPIRATION&lt;&gt;"",PROJSTATEXP,
IF(BS34&gt;0,"",
IF(BD34-BE34&lt;=0,MEASURESAVE,
IF(OR(N02S03F14="",N02S03F14="Select Rate Code",N02S03F14=0),MEASURERATE,
IF(AND(ISNUMBER(SEARCH("Others",C34)),OR(BF34="",BG34="")),MEASURESUBMIT,
IF(AH34&lt;=0,MEASUREINCR,
IF(PAYPROJ_N&lt;PAYBACKREQ,PROJECTSTATPAYBACK,
IF(CBPROJ_N&lt;CBREQ,PROJECTSTATCB,"")))))))),MEASURESUBMIT)</f>
        <v>Submit for Review</v>
      </c>
      <c r="BR34" s="787" t="str">
        <f>IFERROR(IF(OR(C34="",L34="",Q34="",T34="",Y34="",AB34="",AE34=""),"",
ROUND(((1+ELOSS)*((AK34*INDEX(ELECCB[NPV AEC $/kWh],MATCH(BF34,ELECCB[Year Number],1)))+(BH34*INDEX(ELECCB[NPV ACC $/kW],MATCH(BF34,ELECCB[Year Number],1))))),2)),0)</f>
        <v/>
      </c>
      <c r="BS34" s="853"/>
    </row>
    <row r="35" spans="2:71" ht="15.95" customHeight="1">
      <c r="B35" s="800"/>
      <c r="C35" s="1091"/>
      <c r="D35" s="1092"/>
      <c r="E35" s="1092"/>
      <c r="F35" s="1092"/>
      <c r="G35" s="1092"/>
      <c r="H35" s="1092"/>
      <c r="I35" s="1092"/>
      <c r="J35" s="1092"/>
      <c r="K35" s="1092"/>
      <c r="L35" s="1081"/>
      <c r="M35" s="1081"/>
      <c r="N35" s="1081"/>
      <c r="O35" s="1081"/>
      <c r="P35" s="1082"/>
      <c r="Q35" s="1077"/>
      <c r="R35" s="1078"/>
      <c r="S35" s="1078"/>
      <c r="T35" s="1081"/>
      <c r="U35" s="1081"/>
      <c r="V35" s="1081"/>
      <c r="W35" s="1081"/>
      <c r="X35" s="1082"/>
      <c r="Y35" s="1088"/>
      <c r="Z35" s="1078"/>
      <c r="AA35" s="1078"/>
      <c r="AB35" s="1093"/>
      <c r="AC35" s="1093"/>
      <c r="AD35" s="1094"/>
      <c r="AE35" s="1095"/>
      <c r="AF35" s="1096"/>
      <c r="AG35" s="1096"/>
      <c r="AH35" s="1105"/>
      <c r="AI35" s="1105"/>
      <c r="AJ35" s="1106"/>
      <c r="AK35" s="832"/>
      <c r="AL35" s="832"/>
      <c r="AM35" s="832"/>
      <c r="AN35" s="1100"/>
      <c r="AO35" s="1101"/>
      <c r="AP35" s="1101"/>
      <c r="AQ35" s="1102"/>
      <c r="AY35" s="836"/>
      <c r="AZ35" s="836"/>
      <c r="BA35" s="1074"/>
      <c r="BB35" s="850"/>
      <c r="BC35" s="850"/>
      <c r="BD35" s="838"/>
      <c r="BE35" s="838"/>
      <c r="BF35" s="844"/>
      <c r="BG35" s="846"/>
      <c r="BH35" s="837"/>
      <c r="BI35" s="875"/>
      <c r="BJ35" s="788"/>
      <c r="BK35" s="787"/>
      <c r="BL35" s="830"/>
      <c r="BM35" s="830"/>
      <c r="BN35" s="1069"/>
      <c r="BO35" s="1071"/>
      <c r="BP35" s="815"/>
      <c r="BQ35" s="816"/>
      <c r="BR35" s="788"/>
      <c r="BS35" s="854"/>
    </row>
    <row r="36" spans="2:71" ht="15.95" customHeight="1">
      <c r="B36" s="800">
        <v>10</v>
      </c>
      <c r="C36" s="1091"/>
      <c r="D36" s="1092"/>
      <c r="E36" s="1092"/>
      <c r="F36" s="1092"/>
      <c r="G36" s="1092"/>
      <c r="H36" s="1092"/>
      <c r="I36" s="1092"/>
      <c r="J36" s="1092"/>
      <c r="K36" s="1092"/>
      <c r="L36" s="1083"/>
      <c r="M36" s="1083"/>
      <c r="N36" s="1083"/>
      <c r="O36" s="1083"/>
      <c r="P36" s="1084"/>
      <c r="Q36" s="1085"/>
      <c r="R36" s="1086"/>
      <c r="S36" s="1086"/>
      <c r="T36" s="1083"/>
      <c r="U36" s="1083"/>
      <c r="V36" s="1083"/>
      <c r="W36" s="1083"/>
      <c r="X36" s="1084"/>
      <c r="Y36" s="1089"/>
      <c r="Z36" s="1086"/>
      <c r="AA36" s="1086"/>
      <c r="AB36" s="1093"/>
      <c r="AC36" s="1093"/>
      <c r="AD36" s="1094"/>
      <c r="AE36" s="1095"/>
      <c r="AF36" s="1096"/>
      <c r="AG36" s="1096"/>
      <c r="AH36" s="1103" t="str">
        <f t="shared" ref="AH36" si="56">IF(OR(C36="",L36="",Q36="",T36="",Y36="",AB36="",AE36=""),"",ROUND(AE36-AB36,2))</f>
        <v/>
      </c>
      <c r="AI36" s="1103"/>
      <c r="AJ36" s="1104"/>
      <c r="AK36" s="831" t="str">
        <f t="shared" ref="AK36" si="57">IF(OR(C36="",L36="",Q36="",T36="",Y36="",AB36="",AE36=""),"",IF(BD36-BE36&lt;=0,0,ROUND(BD36-BE36,0)))</f>
        <v/>
      </c>
      <c r="AL36" s="831"/>
      <c r="AM36" s="831"/>
      <c r="AN36" s="1097" t="str">
        <f>IF(OR(C36="",L36="",Q36="",T36="",Y36="",AB36="",AE36=""),"",
IF(BQ36&lt;&gt;"",BQ36,IF(BS36&gt;0,BS36,
IF(ACTIVEBLOCK_N="Yes",ROUND(MIN(AH36*INCCOSTCAP,AK36*BLOCKBIDRATE),2),
ROUND(MIN(AH36*INCCOSTCAP,BJ36),2))
)))</f>
        <v/>
      </c>
      <c r="AO36" s="1098"/>
      <c r="AP36" s="1098"/>
      <c r="AQ36" s="1099"/>
      <c r="AY36" s="835" t="str">
        <f t="shared" ref="AY36" si="58">IFERROR(IF(OR(C36="",L36="",Q36="",T36="",Y36="",AB36="",AE36=""),"",ROUND(BR36/AH36,2)),0)</f>
        <v/>
      </c>
      <c r="AZ36" s="835" t="str">
        <f>IFERROR(AH36/N02S03F14/AK36,"")</f>
        <v/>
      </c>
      <c r="BA36" s="1073" t="str">
        <f>IF(C36="","",INDEX(CMEHVAC_N[Unit of Measure],MATCH(C36,CMEHVAC_N[Proj Desc 1],0)))</f>
        <v/>
      </c>
      <c r="BB36" s="849" t="str">
        <f t="shared" ref="BB36" si="59">IF(AK36&lt;&gt;"","Missing!","")</f>
        <v/>
      </c>
      <c r="BC36" s="849" t="str">
        <f t="shared" ref="BC36" si="60">IF(AK36&lt;&gt;"","Missing!","")</f>
        <v/>
      </c>
      <c r="BD36" s="837" t="str">
        <f t="shared" ref="BD36" si="61">IF(OR(C36="",L36="",Q36="",T36="",Y36="",AB36="",AE36=""),"",ROUND(Q36,0))</f>
        <v/>
      </c>
      <c r="BE36" s="837" t="str">
        <f t="shared" ref="BE36" si="62">IF(OR(C36="",L36="",Q36="",T36="",Y36="",AB36="",AE36=""),"",ROUND(Y36,0))</f>
        <v/>
      </c>
      <c r="BF36" s="843" t="str">
        <f>IF(C36="","",IF(INDEX(CMEHVAC_N[EUL],MATCH(C36,CMEHVAC_N[Proj Desc 1],0))="","",INDEX(CMEHVAC_N[EUL],MATCH(C36,CMEHVAC_N[Proj Desc 1],0))))</f>
        <v/>
      </c>
      <c r="BG36" s="845" t="str">
        <f>IF(C36="","",IF(INDEX(CMEHVAC_N[End Use Category],MATCH(C36,CMEHVAC_N[Proj Desc 1],0))="","",INDEX(CMEHVAC_N[End Use Category],MATCH(C36,CMEHVAC_N[Proj Desc 1],0))))</f>
        <v/>
      </c>
      <c r="BH36" s="1065" t="str">
        <f>IFERROR(IF(OR(C36="",L36="",Q36="",T36="",Y36="",AB36="",AE36=""),"",ROUND(AK36*INDEX(ENDUSEALL[Factor],MATCH(BG36,ENDUSEALL[End Use to Coincident Peak Demand Factors],0)),4)),"")</f>
        <v/>
      </c>
      <c r="BI36" s="874"/>
      <c r="BJ36" s="787" t="str">
        <f>IFERROR(ROUND(AK36*BK36,2),"")</f>
        <v/>
      </c>
      <c r="BK36" s="1067" t="str">
        <f>_xlfn.LET(_xlpm.ROWS,MATCH(BG36,ENDUSEALL[End Use to Coincident Peak Demand Factors],0),IFERROR(INDEX(IF(AND(ACTIVEBONUS_N = TRUE,INDEX(ENDUSEALL[Bonus Rate ($/kWh)],_xlpm.ROWS)&lt;&gt;""),ENDUSEALL[Bonus Rate ($/kWh)],ENDUSEALL[Rate ($/kWh)]),_xlpm.ROWS),""))</f>
        <v/>
      </c>
      <c r="BL36" s="829"/>
      <c r="BM36" s="829"/>
      <c r="BN36" s="1068" t="str">
        <f>_xlfn.LET(_xlpm.BONUS_RATE,INDEX(ENDUSEALL[Bonus Rate ($/kWh)],MATCH(BG36,ENDUSEALL[End Use to Coincident Peak Demand Factors],0)),_xlpm.BASE_RATE,INDEX(ENDUSEALL[Rate ($/kWh)],MATCH(BG36,ENDUSEALL[End Use to Coincident Peak Demand Factors],0)),IFERROR(IF(OR(ACTIVEBONUS_N &lt;&gt; TRUE,ISNUMBER(AN36) = FALSE,BS36 &lt;&gt; ""),"",AN36-(AK36*_xlpm.BASE_RATE)),""))</f>
        <v/>
      </c>
      <c r="BO36" s="1070" t="str">
        <f>IF(OR(C36="",L36="",Q36="",T36="",Y36="",AB36="",AE36=""),"",IF(BQ36&lt;&gt;"",SPILLOVERNUMBER,INDEX(CMEHVAC_N[Measure Number],MATCH(C36,CMEHVAC_N[Proj Desc 1],0))))</f>
        <v/>
      </c>
      <c r="BP36" s="1072" t="str">
        <f>IFERROR(
IF(BS36="",
IF(AND(ROUND(AN36/AH36,2)=INCCOSTCAP,BJ36/AH36&gt;INCCOSTCAP),
"100% Incremental Cost",
IF(BK36&lt;KWHRATEMIN,
"kWh Incentive Rate Min",
IF(BK36&gt;KWHRATEMAX,
"kWh Incentive Rate Cap",
IF(AN36=BN36,
"Bonus Incentive",
"kWh Incentive"
)))),""),
"")</f>
        <v/>
      </c>
      <c r="BQ36" s="815" t="str">
        <f ca="1">IFERROR(IF(EXPIRATION&lt;&gt;"",PROJSTATEXP,
IF(BS36&gt;0,"",
IF(BD36-BE36&lt;=0,MEASURESAVE,
IF(OR(N02S03F14="",N02S03F14="Select Rate Code",N02S03F14=0),MEASURERATE,
IF(AND(ISNUMBER(SEARCH("Others",C36)),OR(BF36="",BG36="")),MEASURESUBMIT,
IF(AH36&lt;=0,MEASUREINCR,
IF(PAYPROJ_N&lt;PAYBACKREQ,PROJECTSTATPAYBACK,
IF(CBPROJ_N&lt;CBREQ,PROJECTSTATCB,"")))))))),MEASURESUBMIT)</f>
        <v>Submit for Review</v>
      </c>
      <c r="BR36" s="787" t="str">
        <f>IFERROR(IF(OR(C36="",L36="",Q36="",T36="",Y36="",AB36="",AE36=""),"",
ROUND(((1+ELOSS)*((AK36*INDEX(ELECCB[NPV AEC $/kWh],MATCH(BF36,ELECCB[Year Number],1)))+(BH36*INDEX(ELECCB[NPV ACC $/kW],MATCH(BF36,ELECCB[Year Number],1))))),2)),0)</f>
        <v/>
      </c>
      <c r="BS36" s="853"/>
    </row>
    <row r="37" spans="2:71" ht="15.95" customHeight="1">
      <c r="B37" s="800"/>
      <c r="C37" s="1091"/>
      <c r="D37" s="1092"/>
      <c r="E37" s="1092"/>
      <c r="F37" s="1092"/>
      <c r="G37" s="1092"/>
      <c r="H37" s="1092"/>
      <c r="I37" s="1092"/>
      <c r="J37" s="1092"/>
      <c r="K37" s="1092"/>
      <c r="L37" s="1081"/>
      <c r="M37" s="1081"/>
      <c r="N37" s="1081"/>
      <c r="O37" s="1081"/>
      <c r="P37" s="1082"/>
      <c r="Q37" s="1077"/>
      <c r="R37" s="1078"/>
      <c r="S37" s="1078"/>
      <c r="T37" s="1081"/>
      <c r="U37" s="1081"/>
      <c r="V37" s="1081"/>
      <c r="W37" s="1081"/>
      <c r="X37" s="1082"/>
      <c r="Y37" s="1088"/>
      <c r="Z37" s="1078"/>
      <c r="AA37" s="1078"/>
      <c r="AB37" s="1093"/>
      <c r="AC37" s="1093"/>
      <c r="AD37" s="1094"/>
      <c r="AE37" s="1095"/>
      <c r="AF37" s="1096"/>
      <c r="AG37" s="1096"/>
      <c r="AH37" s="1105"/>
      <c r="AI37" s="1105"/>
      <c r="AJ37" s="1106"/>
      <c r="AK37" s="832"/>
      <c r="AL37" s="832"/>
      <c r="AM37" s="832"/>
      <c r="AN37" s="1100"/>
      <c r="AO37" s="1101"/>
      <c r="AP37" s="1101"/>
      <c r="AQ37" s="1102"/>
      <c r="AY37" s="836"/>
      <c r="AZ37" s="836"/>
      <c r="BA37" s="1074"/>
      <c r="BB37" s="850"/>
      <c r="BC37" s="850"/>
      <c r="BD37" s="838"/>
      <c r="BE37" s="838"/>
      <c r="BF37" s="844"/>
      <c r="BG37" s="846"/>
      <c r="BH37" s="837"/>
      <c r="BI37" s="875"/>
      <c r="BJ37" s="788"/>
      <c r="BK37" s="787"/>
      <c r="BL37" s="830"/>
      <c r="BM37" s="830"/>
      <c r="BN37" s="1069"/>
      <c r="BO37" s="1071"/>
      <c r="BP37" s="815"/>
      <c r="BQ37" s="816"/>
      <c r="BR37" s="788"/>
      <c r="BS37" s="854"/>
    </row>
    <row r="38" spans="2:71" ht="15.95" customHeight="1">
      <c r="B38" s="800"/>
      <c r="BD38" s="31"/>
      <c r="BE38" s="31"/>
    </row>
    <row r="39" spans="2:71" ht="15.95" hidden="1" customHeight="1">
      <c r="B39" s="800"/>
      <c r="BD39" s="31"/>
      <c r="BE39" s="31"/>
    </row>
    <row r="40" spans="2:71" ht="15.95" hidden="1" customHeight="1">
      <c r="B40" s="800"/>
      <c r="BD40" s="31"/>
      <c r="BE40" s="31"/>
    </row>
    <row r="41" spans="2:71" ht="15.95" hidden="1" customHeight="1">
      <c r="B41" s="800"/>
      <c r="BD41" s="31"/>
      <c r="BE41" s="31"/>
    </row>
    <row r="42" spans="2:71" ht="15.95" hidden="1" customHeight="1">
      <c r="B42" s="800"/>
      <c r="BD42" s="31"/>
      <c r="BE42" s="31"/>
    </row>
    <row r="43" spans="2:71" ht="15.95" hidden="1" customHeight="1">
      <c r="B43" s="800"/>
      <c r="BD43" s="31"/>
      <c r="BE43" s="31"/>
    </row>
    <row r="44" spans="2:71" ht="15.95" hidden="1" customHeight="1">
      <c r="B44" s="800"/>
      <c r="BD44" s="31"/>
      <c r="BE44" s="31"/>
    </row>
    <row r="45" spans="2:71" ht="15.95" hidden="1" customHeight="1">
      <c r="B45" s="800"/>
      <c r="BD45" s="31"/>
      <c r="BE45" s="31"/>
    </row>
    <row r="46" spans="2:71" ht="15.95" hidden="1" customHeight="1">
      <c r="B46" s="800"/>
      <c r="BD46" s="31"/>
      <c r="BE46" s="31"/>
    </row>
    <row r="47" spans="2:71" ht="15.95" hidden="1" customHeight="1">
      <c r="B47" s="800"/>
      <c r="BD47" s="31"/>
      <c r="BE47" s="31"/>
    </row>
    <row r="48" spans="2:71" ht="15.95" hidden="1" customHeight="1">
      <c r="AZ48" s="25"/>
      <c r="BA48" s="31"/>
      <c r="BD48" s="31"/>
      <c r="BE48" s="31"/>
    </row>
    <row r="49" spans="52:57" ht="15.95" hidden="1" customHeight="1">
      <c r="AZ49" s="25"/>
      <c r="BA49" s="31"/>
      <c r="BD49" s="31"/>
      <c r="BE49" s="31"/>
    </row>
    <row r="50" spans="52:57" ht="15.95" hidden="1" customHeight="1">
      <c r="AZ50" s="25"/>
      <c r="BA50" s="31"/>
      <c r="BD50" s="31"/>
      <c r="BE50" s="31"/>
    </row>
    <row r="51" spans="52:57" ht="15.95" hidden="1" customHeight="1">
      <c r="AZ51" s="25"/>
      <c r="BA51" s="31"/>
      <c r="BD51" s="31"/>
      <c r="BE51" s="31"/>
    </row>
    <row r="52" spans="52:57" ht="15.95" hidden="1" customHeight="1">
      <c r="AZ52" s="25"/>
      <c r="BA52" s="31"/>
      <c r="BD52" s="31"/>
      <c r="BE52" s="31"/>
    </row>
    <row r="53" spans="52:57" ht="15.95" hidden="1" customHeight="1">
      <c r="AZ53" s="25"/>
      <c r="BA53" s="31"/>
      <c r="BD53" s="31"/>
      <c r="BE53" s="31"/>
    </row>
    <row r="54" spans="52:57" ht="15.95" hidden="1" customHeight="1">
      <c r="AZ54" s="25"/>
      <c r="BA54" s="31"/>
      <c r="BD54" s="31"/>
      <c r="BE54" s="31"/>
    </row>
    <row r="55" spans="52:57" ht="15.95" hidden="1" customHeight="1">
      <c r="AZ55" s="25"/>
      <c r="BA55" s="31"/>
      <c r="BD55" s="31"/>
      <c r="BE55" s="31"/>
    </row>
    <row r="56" spans="52:57" ht="15.95" hidden="1" customHeight="1">
      <c r="AZ56" s="25"/>
      <c r="BA56" s="31"/>
      <c r="BD56" s="31"/>
      <c r="BE56" s="31"/>
    </row>
    <row r="57" spans="52:57" ht="15.95" hidden="1" customHeight="1">
      <c r="AZ57" s="25"/>
      <c r="BA57" s="31"/>
      <c r="BD57" s="31"/>
      <c r="BE57" s="31"/>
    </row>
    <row r="58" spans="52:57" ht="15.95" hidden="1" customHeight="1">
      <c r="AZ58" s="25"/>
      <c r="BA58" s="31"/>
      <c r="BD58" s="31"/>
      <c r="BE58" s="31"/>
    </row>
    <row r="59" spans="52:57" ht="15.95" hidden="1" customHeight="1">
      <c r="AZ59" s="25"/>
      <c r="BA59" s="31"/>
      <c r="BD59" s="31"/>
      <c r="BE59" s="31"/>
    </row>
    <row r="60" spans="52:57" ht="15.95" hidden="1" customHeight="1">
      <c r="AZ60" s="25"/>
      <c r="BA60" s="31"/>
      <c r="BD60" s="31"/>
      <c r="BE60" s="31"/>
    </row>
    <row r="61" spans="52:57" ht="15.95" hidden="1" customHeight="1">
      <c r="AZ61" s="25"/>
      <c r="BA61" s="31"/>
      <c r="BD61" s="31"/>
      <c r="BE61" s="31"/>
    </row>
    <row r="62" spans="52:57" ht="15.95" hidden="1" customHeight="1">
      <c r="AZ62" s="25"/>
      <c r="BA62" s="31"/>
      <c r="BD62" s="31"/>
      <c r="BE62" s="31"/>
    </row>
    <row r="63" spans="52:57" ht="15.95" hidden="1" customHeight="1">
      <c r="AZ63" s="25"/>
      <c r="BA63" s="31"/>
      <c r="BD63" s="31"/>
      <c r="BE63" s="31"/>
    </row>
    <row r="64" spans="52:57" ht="15.95" hidden="1" customHeight="1">
      <c r="AZ64" s="25"/>
      <c r="BA64" s="31"/>
      <c r="BD64" s="31"/>
      <c r="BE64" s="31"/>
    </row>
    <row r="65" spans="52:57" ht="15.95" hidden="1" customHeight="1">
      <c r="AZ65" s="25"/>
      <c r="BA65" s="31"/>
      <c r="BD65" s="31"/>
      <c r="BE65" s="31"/>
    </row>
    <row r="66" spans="52:57" ht="15.95" hidden="1" customHeight="1">
      <c r="AZ66" s="25"/>
      <c r="BA66" s="31"/>
      <c r="BD66" s="31"/>
      <c r="BE66" s="31"/>
    </row>
    <row r="67" spans="52:57" ht="15.95" hidden="1" customHeight="1">
      <c r="AZ67" s="25"/>
      <c r="BA67" s="31"/>
      <c r="BD67" s="31"/>
      <c r="BE67" s="31"/>
    </row>
    <row r="68" spans="52:57" ht="15.95" hidden="1" customHeight="1">
      <c r="AZ68" s="25"/>
      <c r="BA68" s="31"/>
      <c r="BD68" s="31"/>
      <c r="BE68" s="31"/>
    </row>
    <row r="69" spans="52:57" ht="15.95" hidden="1" customHeight="1">
      <c r="AZ69" s="25"/>
      <c r="BA69" s="31"/>
      <c r="BD69" s="31"/>
      <c r="BE69" s="31"/>
    </row>
    <row r="70" spans="52:57" ht="15.95" hidden="1" customHeight="1">
      <c r="AZ70" s="25"/>
      <c r="BA70" s="31"/>
      <c r="BD70" s="31"/>
      <c r="BE70" s="31"/>
    </row>
    <row r="71" spans="52:57" ht="15.95" hidden="1" customHeight="1">
      <c r="AZ71" s="25"/>
      <c r="BA71" s="31"/>
      <c r="BD71" s="31"/>
      <c r="BE71" s="31"/>
    </row>
    <row r="72" spans="52:57" ht="15.95" hidden="1" customHeight="1">
      <c r="AZ72" s="25"/>
      <c r="BA72" s="31"/>
      <c r="BD72" s="31"/>
      <c r="BE72" s="31"/>
    </row>
    <row r="73" spans="52:57" ht="15.95" hidden="1" customHeight="1">
      <c r="AZ73" s="25"/>
      <c r="BA73" s="31"/>
      <c r="BD73" s="31"/>
      <c r="BE73" s="31"/>
    </row>
    <row r="74" spans="52:57" ht="15.95" hidden="1" customHeight="1">
      <c r="AZ74" s="25"/>
      <c r="BA74" s="31"/>
      <c r="BD74" s="31"/>
      <c r="BE74" s="31"/>
    </row>
    <row r="75" spans="52:57" ht="15.95" hidden="1" customHeight="1">
      <c r="AZ75" s="25"/>
      <c r="BA75" s="31"/>
      <c r="BD75" s="31"/>
      <c r="BE75" s="31"/>
    </row>
    <row r="76" spans="52:57" ht="15.95" hidden="1" customHeight="1">
      <c r="AZ76" s="25"/>
      <c r="BA76" s="31"/>
      <c r="BD76" s="31"/>
      <c r="BE76" s="31"/>
    </row>
    <row r="77" spans="52:57" ht="15.95" hidden="1" customHeight="1">
      <c r="AZ77" s="25"/>
      <c r="BA77" s="31"/>
      <c r="BD77" s="31"/>
      <c r="BE77" s="31"/>
    </row>
    <row r="78" spans="52:57" ht="15.95" hidden="1" customHeight="1">
      <c r="AZ78" s="25"/>
      <c r="BA78" s="31"/>
      <c r="BD78" s="31"/>
      <c r="BE78" s="31"/>
    </row>
    <row r="79" spans="52:57" ht="15.95" hidden="1" customHeight="1">
      <c r="AZ79" s="25"/>
      <c r="BA79" s="31"/>
      <c r="BD79" s="31"/>
      <c r="BE79" s="31"/>
    </row>
    <row r="80" spans="52:57" ht="15.95" hidden="1" customHeight="1">
      <c r="AZ80" s="25"/>
      <c r="BA80" s="31"/>
      <c r="BD80" s="31"/>
      <c r="BE80" s="31"/>
    </row>
    <row r="81" spans="52:57" ht="15.95" hidden="1" customHeight="1">
      <c r="AZ81" s="25"/>
      <c r="BA81" s="31"/>
      <c r="BD81" s="31"/>
      <c r="BE81" s="31"/>
    </row>
    <row r="82" spans="52:57" ht="15.95" hidden="1" customHeight="1">
      <c r="AZ82" s="25"/>
      <c r="BA82" s="31"/>
      <c r="BD82" s="31"/>
      <c r="BE82" s="31"/>
    </row>
    <row r="83" spans="52:57" ht="15.95" hidden="1" customHeight="1">
      <c r="AZ83" s="25"/>
      <c r="BA83" s="31"/>
      <c r="BD83" s="31"/>
      <c r="BE83" s="31"/>
    </row>
    <row r="84" spans="52:57" ht="15.95" hidden="1" customHeight="1">
      <c r="AZ84" s="25"/>
      <c r="BA84" s="31"/>
      <c r="BD84" s="31"/>
      <c r="BE84" s="31"/>
    </row>
    <row r="85" spans="52:57" ht="15.95" hidden="1" customHeight="1">
      <c r="AZ85" s="25"/>
      <c r="BA85" s="31"/>
      <c r="BD85" s="31"/>
      <c r="BE85" s="31"/>
    </row>
    <row r="86" spans="52:57" ht="15.95" hidden="1" customHeight="1">
      <c r="AZ86" s="25"/>
      <c r="BA86" s="31"/>
      <c r="BD86" s="31"/>
      <c r="BE86" s="31"/>
    </row>
    <row r="87" spans="52:57" ht="15.95" hidden="1" customHeight="1">
      <c r="AZ87" s="25"/>
      <c r="BA87" s="31"/>
      <c r="BD87" s="31"/>
      <c r="BE87" s="31"/>
    </row>
    <row r="88" spans="52:57" ht="15.95" hidden="1" customHeight="1">
      <c r="AZ88" s="25"/>
      <c r="BA88" s="31"/>
      <c r="BD88" s="31"/>
      <c r="BE88" s="31"/>
    </row>
    <row r="89" spans="52:57" ht="15.95" hidden="1" customHeight="1">
      <c r="AZ89" s="25"/>
      <c r="BA89" s="31"/>
      <c r="BD89" s="31"/>
      <c r="BE89" s="31"/>
    </row>
    <row r="90" spans="52:57" ht="15.95" hidden="1" customHeight="1">
      <c r="AZ90" s="25"/>
      <c r="BA90" s="31"/>
      <c r="BD90" s="31"/>
      <c r="BE90" s="31"/>
    </row>
    <row r="91" spans="52:57" ht="15.95" hidden="1" customHeight="1">
      <c r="AZ91" s="25"/>
      <c r="BA91" s="31"/>
      <c r="BD91" s="31"/>
      <c r="BE91" s="31"/>
    </row>
    <row r="92" spans="52:57" ht="15.95" hidden="1" customHeight="1">
      <c r="AZ92" s="25"/>
      <c r="BA92" s="31"/>
      <c r="BD92" s="31"/>
      <c r="BE92" s="31"/>
    </row>
    <row r="93" spans="52:57" ht="15.95" hidden="1" customHeight="1">
      <c r="AZ93" s="25"/>
      <c r="BA93" s="31"/>
      <c r="BD93" s="31"/>
      <c r="BE93" s="31"/>
    </row>
    <row r="94" spans="52:57" ht="15.95" hidden="1" customHeight="1">
      <c r="AZ94" s="25"/>
      <c r="BA94" s="31"/>
      <c r="BD94" s="31"/>
      <c r="BE94" s="31"/>
    </row>
    <row r="95" spans="52:57" ht="15.95" hidden="1" customHeight="1">
      <c r="AZ95" s="25"/>
      <c r="BA95" s="31"/>
      <c r="BD95" s="31"/>
      <c r="BE95" s="31"/>
    </row>
    <row r="96" spans="52:57" ht="15.95" hidden="1" customHeight="1">
      <c r="AZ96" s="25"/>
      <c r="BA96" s="31"/>
      <c r="BD96" s="31"/>
      <c r="BE96" s="31"/>
    </row>
    <row r="97" spans="52:57" ht="15.95" hidden="1" customHeight="1">
      <c r="AZ97" s="25"/>
      <c r="BA97" s="31"/>
      <c r="BD97" s="31"/>
      <c r="BE97" s="31"/>
    </row>
    <row r="98" spans="52:57" ht="15.95" hidden="1" customHeight="1">
      <c r="AZ98" s="25"/>
      <c r="BA98" s="31"/>
      <c r="BD98" s="31"/>
      <c r="BE98" s="31"/>
    </row>
    <row r="99" spans="52:57" ht="15.95" hidden="1" customHeight="1">
      <c r="AZ99" s="25"/>
      <c r="BA99" s="31"/>
      <c r="BD99" s="31"/>
      <c r="BE99" s="31"/>
    </row>
    <row r="100" spans="52:57" ht="15.95" hidden="1" customHeight="1">
      <c r="AZ100" s="25"/>
      <c r="BA100" s="31"/>
      <c r="BD100" s="31"/>
      <c r="BE100" s="31"/>
    </row>
    <row r="101" spans="52:57" ht="15.95" hidden="1" customHeight="1">
      <c r="AZ101" s="25"/>
      <c r="BA101" s="31"/>
      <c r="BD101" s="31"/>
      <c r="BE101" s="31"/>
    </row>
    <row r="102" spans="52:57" ht="15.95" hidden="1" customHeight="1">
      <c r="AZ102" s="25"/>
      <c r="BA102" s="31"/>
      <c r="BD102" s="31"/>
      <c r="BE102" s="31"/>
    </row>
    <row r="103" spans="52:57" ht="15.95" hidden="1" customHeight="1">
      <c r="AZ103" s="25"/>
      <c r="BA103" s="31"/>
      <c r="BD103" s="31"/>
      <c r="BE103" s="31"/>
    </row>
    <row r="104" spans="52:57" ht="15.95" hidden="1" customHeight="1">
      <c r="AZ104" s="25"/>
      <c r="BA104" s="31"/>
      <c r="BD104" s="31"/>
      <c r="BE104" s="31"/>
    </row>
    <row r="105" spans="52:57" ht="15.95" hidden="1" customHeight="1">
      <c r="AZ105" s="25"/>
      <c r="BA105" s="31"/>
      <c r="BD105" s="31"/>
      <c r="BE105" s="31"/>
    </row>
    <row r="106" spans="52:57" ht="15.95" hidden="1" customHeight="1">
      <c r="AZ106" s="25"/>
      <c r="BA106" s="31"/>
      <c r="BD106" s="31"/>
      <c r="BE106" s="31"/>
    </row>
    <row r="107" spans="52:57" ht="15.95" hidden="1" customHeight="1">
      <c r="AZ107" s="25"/>
      <c r="BA107" s="31"/>
      <c r="BD107" s="31"/>
      <c r="BE107" s="31"/>
    </row>
    <row r="108" spans="52:57" ht="15.95" hidden="1" customHeight="1">
      <c r="AZ108" s="25"/>
      <c r="BA108" s="31"/>
      <c r="BD108" s="31"/>
      <c r="BE108" s="31"/>
    </row>
    <row r="109" spans="52:57" ht="15.95" hidden="1" customHeight="1">
      <c r="AZ109" s="25"/>
      <c r="BA109" s="31"/>
      <c r="BD109" s="31"/>
      <c r="BE109" s="31"/>
    </row>
    <row r="110" spans="52:57" ht="15.95" hidden="1" customHeight="1">
      <c r="AZ110" s="25"/>
      <c r="BA110" s="31"/>
      <c r="BD110" s="31"/>
      <c r="BE110" s="31"/>
    </row>
    <row r="111" spans="52:57" ht="15.95" hidden="1" customHeight="1">
      <c r="AZ111" s="25"/>
      <c r="BA111" s="31"/>
      <c r="BD111" s="31"/>
      <c r="BE111" s="31"/>
    </row>
    <row r="112" spans="52:57" ht="15.95" hidden="1" customHeight="1">
      <c r="AZ112" s="25"/>
      <c r="BA112" s="31"/>
      <c r="BD112" s="31"/>
      <c r="BE112" s="31"/>
    </row>
    <row r="113" spans="52:57" ht="15.95" hidden="1" customHeight="1">
      <c r="AZ113" s="25"/>
      <c r="BA113" s="31"/>
      <c r="BD113" s="31"/>
      <c r="BE113" s="31"/>
    </row>
    <row r="114" spans="52:57" ht="15.95" hidden="1" customHeight="1">
      <c r="AZ114" s="25"/>
      <c r="BA114" s="31"/>
      <c r="BD114" s="31"/>
      <c r="BE114" s="31"/>
    </row>
    <row r="115" spans="52:57" ht="15.95" hidden="1" customHeight="1">
      <c r="AZ115" s="25"/>
      <c r="BA115" s="31"/>
      <c r="BD115" s="31"/>
      <c r="BE115" s="31"/>
    </row>
    <row r="116" spans="52:57" ht="15.95" hidden="1" customHeight="1">
      <c r="AZ116" s="25"/>
      <c r="BA116" s="31"/>
      <c r="BD116" s="31"/>
      <c r="BE116" s="31"/>
    </row>
    <row r="117" spans="52:57" ht="15.95" hidden="1" customHeight="1">
      <c r="AZ117" s="25"/>
      <c r="BA117" s="31"/>
      <c r="BD117" s="31"/>
      <c r="BE117" s="31"/>
    </row>
    <row r="118" spans="52:57" ht="15.95" hidden="1" customHeight="1">
      <c r="AZ118" s="25"/>
      <c r="BA118" s="31"/>
      <c r="BD118" s="31"/>
      <c r="BE118" s="31"/>
    </row>
    <row r="119" spans="52:57" ht="15.95" hidden="1" customHeight="1">
      <c r="AZ119" s="25"/>
      <c r="BA119" s="31"/>
      <c r="BD119" s="31"/>
      <c r="BE119" s="31"/>
    </row>
    <row r="120" spans="52:57" ht="15.95" hidden="1" customHeight="1">
      <c r="AZ120" s="25"/>
      <c r="BA120" s="31"/>
      <c r="BD120" s="31"/>
      <c r="BE120" s="31"/>
    </row>
    <row r="121" spans="52:57" ht="15.95" hidden="1" customHeight="1">
      <c r="AZ121" s="25"/>
      <c r="BA121" s="31"/>
      <c r="BD121" s="31"/>
      <c r="BE121" s="31"/>
    </row>
    <row r="122" spans="52:57" ht="15.95" hidden="1" customHeight="1">
      <c r="AZ122" s="25"/>
      <c r="BA122" s="31"/>
      <c r="BD122" s="31"/>
      <c r="BE122" s="31"/>
    </row>
    <row r="123" spans="52:57" ht="15.95" hidden="1" customHeight="1">
      <c r="AZ123" s="25"/>
      <c r="BA123" s="31"/>
      <c r="BD123" s="31"/>
      <c r="BE123" s="31"/>
    </row>
    <row r="124" spans="52:57" ht="15.95" hidden="1" customHeight="1">
      <c r="AZ124" s="25"/>
      <c r="BA124" s="31"/>
      <c r="BD124" s="31"/>
      <c r="BE124" s="31"/>
    </row>
    <row r="125" spans="52:57" ht="15.95" hidden="1" customHeight="1">
      <c r="AZ125" s="25"/>
      <c r="BA125" s="31"/>
      <c r="BD125" s="31"/>
      <c r="BE125" s="31"/>
    </row>
    <row r="126" spans="52:57" ht="15.95" hidden="1" customHeight="1">
      <c r="AZ126" s="25"/>
      <c r="BA126" s="31"/>
      <c r="BD126" s="31"/>
      <c r="BE126" s="31"/>
    </row>
    <row r="127" spans="52:57" ht="15.95" hidden="1" customHeight="1">
      <c r="AZ127" s="25"/>
      <c r="BA127" s="31"/>
      <c r="BD127" s="31"/>
      <c r="BE127" s="31"/>
    </row>
    <row r="128" spans="52:57" ht="15.95" hidden="1" customHeight="1">
      <c r="AZ128" s="25"/>
      <c r="BA128" s="31"/>
      <c r="BD128" s="31"/>
      <c r="BE128" s="31"/>
    </row>
    <row r="129" spans="52:57" ht="15.95" hidden="1" customHeight="1">
      <c r="AZ129" s="25"/>
      <c r="BA129" s="31"/>
      <c r="BD129" s="31"/>
      <c r="BE129" s="31"/>
    </row>
    <row r="130" spans="52:57" ht="15.95" hidden="1" customHeight="1">
      <c r="AZ130" s="25"/>
      <c r="BA130" s="31"/>
      <c r="BD130" s="31"/>
      <c r="BE130" s="31"/>
    </row>
    <row r="131" spans="52:57" ht="15.95" hidden="1" customHeight="1">
      <c r="AZ131" s="25"/>
      <c r="BA131" s="31"/>
      <c r="BD131" s="31"/>
      <c r="BE131" s="31"/>
    </row>
    <row r="132" spans="52:57" ht="15.95" hidden="1" customHeight="1">
      <c r="AZ132" s="25"/>
      <c r="BA132" s="31"/>
      <c r="BD132" s="31"/>
      <c r="BE132" s="31"/>
    </row>
    <row r="133" spans="52:57" ht="15.95" hidden="1" customHeight="1">
      <c r="AZ133" s="25"/>
      <c r="BA133" s="31"/>
      <c r="BD133" s="31"/>
      <c r="BE133" s="31"/>
    </row>
    <row r="134" spans="52:57" ht="15.95" hidden="1" customHeight="1">
      <c r="AZ134" s="25"/>
      <c r="BA134" s="31"/>
      <c r="BD134" s="31"/>
      <c r="BE134" s="31"/>
    </row>
    <row r="135" spans="52:57" ht="15.95" hidden="1" customHeight="1">
      <c r="AZ135" s="25"/>
      <c r="BA135" s="31"/>
      <c r="BD135" s="31"/>
      <c r="BE135" s="31"/>
    </row>
    <row r="136" spans="52:57" ht="15.95" hidden="1" customHeight="1">
      <c r="AZ136" s="25"/>
      <c r="BA136" s="31"/>
      <c r="BD136" s="31"/>
      <c r="BE136" s="31"/>
    </row>
    <row r="137" spans="52:57" ht="15.95" hidden="1" customHeight="1">
      <c r="AZ137" s="25"/>
      <c r="BA137" s="31"/>
      <c r="BD137" s="31"/>
      <c r="BE137" s="31"/>
    </row>
    <row r="138" spans="52:57" ht="15.95" hidden="1" customHeight="1">
      <c r="AZ138" s="25"/>
      <c r="BA138" s="31"/>
      <c r="BD138" s="31"/>
      <c r="BE138" s="31"/>
    </row>
    <row r="139" spans="52:57" ht="15.95" hidden="1" customHeight="1">
      <c r="AZ139" s="25"/>
      <c r="BA139" s="31"/>
      <c r="BD139" s="31"/>
      <c r="BE139" s="31"/>
    </row>
    <row r="140" spans="52:57" ht="15.95" hidden="1" customHeight="1">
      <c r="AZ140" s="25"/>
      <c r="BA140" s="31"/>
      <c r="BD140" s="31"/>
      <c r="BE140" s="31"/>
    </row>
    <row r="141" spans="52:57" ht="15.95" hidden="1" customHeight="1">
      <c r="AZ141" s="25"/>
      <c r="BA141" s="31"/>
      <c r="BD141" s="31"/>
      <c r="BE141" s="31"/>
    </row>
    <row r="142" spans="52:57" ht="15.95" hidden="1" customHeight="1">
      <c r="AZ142" s="25"/>
      <c r="BA142" s="31"/>
      <c r="BD142" s="31"/>
      <c r="BE142" s="31"/>
    </row>
    <row r="143" spans="52:57" ht="15.95" hidden="1" customHeight="1">
      <c r="AZ143" s="25"/>
      <c r="BA143" s="31"/>
      <c r="BD143" s="31"/>
      <c r="BE143" s="31"/>
    </row>
    <row r="144" spans="52:57" ht="15.95" hidden="1" customHeight="1">
      <c r="AZ144" s="25"/>
      <c r="BA144" s="31"/>
      <c r="BD144" s="31"/>
      <c r="BE144" s="31"/>
    </row>
    <row r="145" spans="52:57" ht="15.95" hidden="1" customHeight="1">
      <c r="AZ145" s="25"/>
      <c r="BA145" s="31"/>
      <c r="BD145" s="31"/>
      <c r="BE145" s="31"/>
    </row>
    <row r="146" spans="52:57" ht="15.95" hidden="1" customHeight="1">
      <c r="AZ146" s="25"/>
      <c r="BA146" s="31"/>
      <c r="BD146" s="31"/>
      <c r="BE146" s="31"/>
    </row>
    <row r="147" spans="52:57" ht="15.95" hidden="1" customHeight="1">
      <c r="AZ147" s="25"/>
      <c r="BA147" s="31"/>
      <c r="BD147" s="31"/>
      <c r="BE147" s="31"/>
    </row>
    <row r="148" spans="52:57" ht="15.95" hidden="1" customHeight="1">
      <c r="AZ148" s="25"/>
      <c r="BA148" s="31"/>
      <c r="BD148" s="31"/>
      <c r="BE148" s="31"/>
    </row>
    <row r="149" spans="52:57" ht="15.95" hidden="1" customHeight="1">
      <c r="AZ149" s="25"/>
      <c r="BA149" s="31"/>
      <c r="BD149" s="31"/>
      <c r="BE149" s="31"/>
    </row>
    <row r="150" spans="52:57" ht="15.95" hidden="1" customHeight="1">
      <c r="AZ150" s="25"/>
      <c r="BA150" s="31"/>
      <c r="BD150" s="31"/>
      <c r="BE150" s="31"/>
    </row>
    <row r="151" spans="52:57" ht="15.95" hidden="1" customHeight="1">
      <c r="AZ151" s="25"/>
      <c r="BA151" s="31"/>
      <c r="BD151" s="31"/>
      <c r="BE151" s="31"/>
    </row>
    <row r="152" spans="52:57" ht="15.95" hidden="1" customHeight="1">
      <c r="AZ152" s="25"/>
      <c r="BA152" s="31"/>
      <c r="BD152" s="31"/>
      <c r="BE152" s="31"/>
    </row>
    <row r="153" spans="52:57" ht="15.95" hidden="1" customHeight="1">
      <c r="AZ153" s="25"/>
      <c r="BA153" s="31"/>
      <c r="BD153" s="31"/>
      <c r="BE153" s="31"/>
    </row>
    <row r="154" spans="52:57" ht="15.95" hidden="1" customHeight="1">
      <c r="AZ154" s="25"/>
      <c r="BA154" s="31"/>
      <c r="BD154" s="31"/>
      <c r="BE154" s="31"/>
    </row>
    <row r="155" spans="52:57" ht="15.95" hidden="1" customHeight="1">
      <c r="AZ155" s="25"/>
      <c r="BA155" s="31"/>
      <c r="BD155" s="31"/>
      <c r="BE155" s="31"/>
    </row>
    <row r="156" spans="52:57" ht="15.95" hidden="1" customHeight="1">
      <c r="AZ156" s="25"/>
      <c r="BA156" s="31"/>
      <c r="BD156" s="31"/>
      <c r="BE156" s="31"/>
    </row>
    <row r="157" spans="52:57" ht="15.95" hidden="1" customHeight="1">
      <c r="AZ157" s="25"/>
      <c r="BA157" s="31"/>
      <c r="BD157" s="31"/>
      <c r="BE157" s="31"/>
    </row>
    <row r="158" spans="52:57" ht="15.95" hidden="1" customHeight="1">
      <c r="AZ158" s="25"/>
      <c r="BA158" s="31"/>
      <c r="BD158" s="31"/>
      <c r="BE158" s="31"/>
    </row>
    <row r="159" spans="52:57" ht="15.95" hidden="1" customHeight="1">
      <c r="AZ159" s="25"/>
      <c r="BA159" s="31"/>
      <c r="BD159" s="31"/>
      <c r="BE159" s="31"/>
    </row>
    <row r="160" spans="52:57" ht="15.95" hidden="1" customHeight="1">
      <c r="AZ160" s="25"/>
      <c r="BA160" s="31"/>
      <c r="BD160" s="31"/>
      <c r="BE160" s="31"/>
    </row>
    <row r="161" spans="52:57" ht="15.95" hidden="1" customHeight="1">
      <c r="AZ161" s="25"/>
      <c r="BA161" s="31"/>
      <c r="BD161" s="31"/>
      <c r="BE161" s="31"/>
    </row>
    <row r="162" spans="52:57" ht="15.95" hidden="1" customHeight="1">
      <c r="AZ162" s="25"/>
      <c r="BA162" s="31"/>
      <c r="BD162" s="31"/>
      <c r="BE162" s="31"/>
    </row>
    <row r="163" spans="52:57" ht="15.95" hidden="1" customHeight="1">
      <c r="AZ163" s="25"/>
      <c r="BA163" s="31"/>
      <c r="BD163" s="31"/>
      <c r="BE163" s="31"/>
    </row>
    <row r="164" spans="52:57" ht="15.95" hidden="1" customHeight="1">
      <c r="AZ164" s="25"/>
      <c r="BA164" s="31"/>
      <c r="BD164" s="31"/>
      <c r="BE164" s="31"/>
    </row>
    <row r="165" spans="52:57" ht="15.95" hidden="1" customHeight="1">
      <c r="AZ165" s="25"/>
      <c r="BA165" s="31"/>
      <c r="BD165" s="31"/>
      <c r="BE165" s="31"/>
    </row>
    <row r="166" spans="52:57" ht="15.95" hidden="1" customHeight="1">
      <c r="AZ166" s="25"/>
      <c r="BA166" s="31"/>
      <c r="BD166" s="31"/>
      <c r="BE166" s="31"/>
    </row>
    <row r="167" spans="52:57" ht="15.95" hidden="1" customHeight="1">
      <c r="AZ167" s="25"/>
      <c r="BA167" s="31"/>
      <c r="BD167" s="31"/>
      <c r="BE167" s="31"/>
    </row>
    <row r="168" spans="52:57" ht="15.95" hidden="1" customHeight="1">
      <c r="AZ168" s="25"/>
      <c r="BA168" s="31"/>
      <c r="BD168" s="31"/>
      <c r="BE168" s="31"/>
    </row>
    <row r="169" spans="52:57" ht="15.95" hidden="1" customHeight="1">
      <c r="AZ169" s="25"/>
      <c r="BA169" s="31"/>
      <c r="BD169" s="31"/>
      <c r="BE169" s="31"/>
    </row>
    <row r="170" spans="52:57" ht="15.95" hidden="1" customHeight="1">
      <c r="AZ170" s="25"/>
      <c r="BA170" s="31"/>
      <c r="BD170" s="31"/>
      <c r="BE170" s="31"/>
    </row>
    <row r="171" spans="52:57" ht="15.95" hidden="1" customHeight="1">
      <c r="AZ171" s="25"/>
      <c r="BA171" s="31"/>
      <c r="BD171" s="31"/>
      <c r="BE171" s="31"/>
    </row>
    <row r="172" spans="52:57" ht="15.95" hidden="1" customHeight="1">
      <c r="AZ172" s="25"/>
      <c r="BA172" s="31"/>
      <c r="BD172" s="31"/>
      <c r="BE172" s="31"/>
    </row>
    <row r="173" spans="52:57" ht="15.95" hidden="1" customHeight="1">
      <c r="AZ173" s="25"/>
      <c r="BA173" s="31"/>
      <c r="BD173" s="31"/>
      <c r="BE173" s="31"/>
    </row>
    <row r="174" spans="52:57" ht="15.95" hidden="1" customHeight="1">
      <c r="AZ174" s="25"/>
      <c r="BA174" s="31"/>
      <c r="BD174" s="31"/>
      <c r="BE174" s="31"/>
    </row>
    <row r="175" spans="52:57" ht="15.95" hidden="1" customHeight="1">
      <c r="AZ175" s="25"/>
      <c r="BA175" s="31"/>
      <c r="BD175" s="31"/>
      <c r="BE175" s="31"/>
    </row>
    <row r="176" spans="52:57" ht="15.95" hidden="1" customHeight="1">
      <c r="AZ176" s="25"/>
      <c r="BA176" s="31"/>
      <c r="BD176" s="31"/>
      <c r="BE176" s="31"/>
    </row>
    <row r="177" spans="52:57" ht="15.95" hidden="1" customHeight="1">
      <c r="AZ177" s="25"/>
      <c r="BA177" s="31"/>
      <c r="BD177" s="31"/>
      <c r="BE177" s="31"/>
    </row>
    <row r="178" spans="52:57" ht="15.95" hidden="1" customHeight="1">
      <c r="AZ178" s="25"/>
      <c r="BA178" s="31"/>
      <c r="BD178" s="31"/>
      <c r="BE178" s="31"/>
    </row>
    <row r="179" spans="52:57" ht="15.95" hidden="1" customHeight="1">
      <c r="AZ179" s="25"/>
      <c r="BA179" s="31"/>
      <c r="BD179" s="31"/>
      <c r="BE179" s="31"/>
    </row>
    <row r="180" spans="52:57" ht="15.95" hidden="1" customHeight="1">
      <c r="AZ180" s="25"/>
      <c r="BA180" s="31"/>
      <c r="BD180" s="31"/>
      <c r="BE180" s="31"/>
    </row>
    <row r="181" spans="52:57" ht="15.95" hidden="1" customHeight="1">
      <c r="AZ181" s="25"/>
      <c r="BA181" s="31"/>
      <c r="BD181" s="31"/>
      <c r="BE181" s="31"/>
    </row>
    <row r="182" spans="52:57" ht="15.95" hidden="1" customHeight="1">
      <c r="AZ182" s="25"/>
      <c r="BA182" s="31"/>
      <c r="BD182" s="31"/>
      <c r="BE182" s="31"/>
    </row>
    <row r="183" spans="52:57" ht="15.95" hidden="1" customHeight="1">
      <c r="AZ183" s="25"/>
      <c r="BA183" s="31"/>
      <c r="BD183" s="31"/>
      <c r="BE183" s="31"/>
    </row>
    <row r="184" spans="52:57" ht="15.95" hidden="1" customHeight="1">
      <c r="AZ184" s="25"/>
      <c r="BA184" s="31"/>
      <c r="BD184" s="31"/>
      <c r="BE184" s="31"/>
    </row>
    <row r="185" spans="52:57" ht="15.95" hidden="1" customHeight="1">
      <c r="AZ185" s="25"/>
      <c r="BA185" s="31"/>
      <c r="BD185" s="31"/>
      <c r="BE185" s="31"/>
    </row>
    <row r="186" spans="52:57" ht="15.95" hidden="1" customHeight="1">
      <c r="AZ186" s="25"/>
      <c r="BA186" s="31"/>
      <c r="BD186" s="31"/>
      <c r="BE186" s="31"/>
    </row>
    <row r="187" spans="52:57" ht="15.95" hidden="1" customHeight="1">
      <c r="AZ187" s="25"/>
      <c r="BA187" s="31"/>
      <c r="BD187" s="31"/>
      <c r="BE187" s="31"/>
    </row>
    <row r="188" spans="52:57" ht="15.95" hidden="1" customHeight="1">
      <c r="AZ188" s="25"/>
      <c r="BA188" s="31"/>
      <c r="BD188" s="31"/>
      <c r="BE188" s="31"/>
    </row>
    <row r="189" spans="52:57" ht="15.95" hidden="1" customHeight="1">
      <c r="AZ189" s="25"/>
      <c r="BA189" s="31"/>
      <c r="BD189" s="31"/>
      <c r="BE189" s="31"/>
    </row>
    <row r="190" spans="52:57" ht="15.95" hidden="1" customHeight="1">
      <c r="AZ190" s="25"/>
      <c r="BA190" s="31"/>
      <c r="BD190" s="31"/>
      <c r="BE190" s="31"/>
    </row>
    <row r="191" spans="52:57" ht="15.95" hidden="1" customHeight="1">
      <c r="AZ191" s="25"/>
      <c r="BA191" s="31"/>
      <c r="BD191" s="31"/>
      <c r="BE191" s="31"/>
    </row>
    <row r="192" spans="52:57" ht="15.95" hidden="1" customHeight="1">
      <c r="AZ192" s="25"/>
      <c r="BA192" s="31"/>
      <c r="BD192" s="31"/>
      <c r="BE192" s="31"/>
    </row>
    <row r="193" spans="1:61" ht="15.95" hidden="1" customHeight="1">
      <c r="AZ193" s="25"/>
      <c r="BA193" s="31"/>
      <c r="BD193" s="31"/>
      <c r="BE193" s="31"/>
    </row>
    <row r="194" spans="1:61" ht="15.95" hidden="1" customHeight="1">
      <c r="AZ194" s="25"/>
      <c r="BA194" s="31"/>
      <c r="BD194" s="31"/>
      <c r="BE194" s="31"/>
    </row>
    <row r="195" spans="1:61" ht="15.95" hidden="1" customHeight="1">
      <c r="AZ195" s="25"/>
      <c r="BA195" s="31"/>
      <c r="BD195" s="31"/>
      <c r="BE195" s="31"/>
    </row>
    <row r="196" spans="1:61" ht="15.95" hidden="1" customHeight="1">
      <c r="AZ196" s="25"/>
      <c r="BA196" s="31"/>
      <c r="BD196" s="31"/>
      <c r="BE196" s="31"/>
    </row>
    <row r="197" spans="1:61" ht="15.95" hidden="1" customHeight="1">
      <c r="AZ197" s="25"/>
      <c r="BA197" s="31"/>
      <c r="BD197" s="31"/>
      <c r="BE197" s="31"/>
    </row>
    <row r="198" spans="1:61" ht="15.95" hidden="1" customHeight="1">
      <c r="AZ198" s="25"/>
      <c r="BA198" s="31"/>
      <c r="BD198" s="31"/>
      <c r="BE198" s="31"/>
    </row>
    <row r="199" spans="1:61" ht="15.95" hidden="1" customHeight="1">
      <c r="AZ199" s="25"/>
      <c r="BA199" s="31"/>
      <c r="BD199" s="31"/>
      <c r="BE199" s="31"/>
    </row>
    <row r="200" spans="1:61"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c r="BB200" s="1066">
        <f>IF(OR(COUNTIF(BB18:BC37,"Missing!")&gt;0,COUNTIF(BB18:BC37,0)&gt;0,IF(2*COUNTBLANK(AK18:AK37)=COUNTBLANK(BB18:BC37),0,1)&gt;0),"Missing Units on Custom HVAC. ",SUM(BB18:BB37))</f>
        <v>0</v>
      </c>
      <c r="BC200" s="838">
        <f>SUM(BC18:BC37)</f>
        <v>0</v>
      </c>
      <c r="BD200" s="838">
        <f>SUM(BD18:BD37)</f>
        <v>0</v>
      </c>
      <c r="BE200" s="838">
        <f>SUM(BE18:BE37)</f>
        <v>0</v>
      </c>
      <c r="BH200" s="1065">
        <f>SUM(BH18:BH37)</f>
        <v>0</v>
      </c>
      <c r="BI200" s="1065">
        <f>SUM(BI18:BI37)</f>
        <v>0</v>
      </c>
    </row>
    <row r="201" spans="1:61"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c r="BB201" s="1066"/>
      <c r="BC201" s="838"/>
      <c r="BD201" s="838"/>
      <c r="BE201" s="838"/>
      <c r="BH201" s="837"/>
      <c r="BI201" s="837"/>
    </row>
    <row r="202" spans="1:61"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61" ht="15.95" hidden="1" customHeight="1"/>
    <row r="204" spans="1:61" ht="15.95" hidden="1" customHeight="1"/>
  </sheetData>
  <sheetProtection algorithmName="SHA-512" hashValue="LXn/efvTtQPL/JLYPSqZbs4aIn6azc8s3NOnRTCdxc7U4z5lO7kPTwKTtK8Az7Rf3Q0KglcnXZT02W30sJDsSg==" saltValue="Ho5nSepRTFcaQ2iyoAXzWg==" spinCount="100000" sheet="1" objects="1" scenarios="1" selectLockedCells="1"/>
  <mergeCells count="388">
    <mergeCell ref="F1:I3"/>
    <mergeCell ref="J1:M3"/>
    <mergeCell ref="O1:AE3"/>
    <mergeCell ref="AL1:AO3"/>
    <mergeCell ref="AP1:AS3"/>
    <mergeCell ref="AT1:AW3"/>
    <mergeCell ref="T20:X21"/>
    <mergeCell ref="T24:X25"/>
    <mergeCell ref="Y24:AA25"/>
    <mergeCell ref="AH24:AJ25"/>
    <mergeCell ref="AK24:AM25"/>
    <mergeCell ref="AN24:AQ25"/>
    <mergeCell ref="AN22:AQ23"/>
    <mergeCell ref="AH22:AJ23"/>
    <mergeCell ref="AK22:AM23"/>
    <mergeCell ref="AH18:AJ19"/>
    <mergeCell ref="AK18:AM19"/>
    <mergeCell ref="AN18:AQ19"/>
    <mergeCell ref="A8:E8"/>
    <mergeCell ref="AQ8:AU8"/>
    <mergeCell ref="C16:K17"/>
    <mergeCell ref="AB16:AD17"/>
    <mergeCell ref="AE16:AG17"/>
    <mergeCell ref="C18:K19"/>
    <mergeCell ref="AB18:AD19"/>
    <mergeCell ref="AE18:AG19"/>
    <mergeCell ref="C20:K21"/>
    <mergeCell ref="AB20:AD21"/>
    <mergeCell ref="AE20:AG21"/>
    <mergeCell ref="AK20:AM21"/>
    <mergeCell ref="AN20:AQ21"/>
    <mergeCell ref="AH20:AJ21"/>
    <mergeCell ref="AN16:AQ17"/>
    <mergeCell ref="R12:U13"/>
    <mergeCell ref="V12:Y13"/>
    <mergeCell ref="Z12:AC13"/>
    <mergeCell ref="G9:J11"/>
    <mergeCell ref="K9:N11"/>
    <mergeCell ref="O9:R11"/>
    <mergeCell ref="S9:V11"/>
    <mergeCell ref="W9:Z11"/>
    <mergeCell ref="AA9:AD11"/>
    <mergeCell ref="A5:E6"/>
    <mergeCell ref="AQ5:AU6"/>
    <mergeCell ref="A7:E7"/>
    <mergeCell ref="AQ7:AU7"/>
    <mergeCell ref="B46:B47"/>
    <mergeCell ref="M200:AG201"/>
    <mergeCell ref="BD200:BD201"/>
    <mergeCell ref="BE200:BE201"/>
    <mergeCell ref="BH200:BH201"/>
    <mergeCell ref="B38:B39"/>
    <mergeCell ref="B40:B41"/>
    <mergeCell ref="B42:B43"/>
    <mergeCell ref="B44:B45"/>
    <mergeCell ref="AN36:AQ37"/>
    <mergeCell ref="B34:B35"/>
    <mergeCell ref="AK36:AM37"/>
    <mergeCell ref="AH36:AJ37"/>
    <mergeCell ref="B36:B37"/>
    <mergeCell ref="C36:K37"/>
    <mergeCell ref="AB36:AD37"/>
    <mergeCell ref="AE36:AG37"/>
    <mergeCell ref="L36:P37"/>
    <mergeCell ref="Q36:S37"/>
    <mergeCell ref="T36:X37"/>
    <mergeCell ref="Y36:AA37"/>
    <mergeCell ref="C34:K35"/>
    <mergeCell ref="AB34:AD35"/>
    <mergeCell ref="AE34:AG35"/>
    <mergeCell ref="AH32:AJ33"/>
    <mergeCell ref="AK32:AM33"/>
    <mergeCell ref="AN32:AQ33"/>
    <mergeCell ref="AN34:AQ35"/>
    <mergeCell ref="B32:B33"/>
    <mergeCell ref="AH34:AJ35"/>
    <mergeCell ref="AK34:AM35"/>
    <mergeCell ref="C32:K33"/>
    <mergeCell ref="AB32:AD33"/>
    <mergeCell ref="AE32:AG33"/>
    <mergeCell ref="L32:P33"/>
    <mergeCell ref="Q32:S33"/>
    <mergeCell ref="L34:P35"/>
    <mergeCell ref="Q34:S35"/>
    <mergeCell ref="T32:X33"/>
    <mergeCell ref="Y32:AA33"/>
    <mergeCell ref="T34:X35"/>
    <mergeCell ref="Y34:AA35"/>
    <mergeCell ref="AN30:AQ31"/>
    <mergeCell ref="AH30:AJ31"/>
    <mergeCell ref="AK30:AM31"/>
    <mergeCell ref="B30:B31"/>
    <mergeCell ref="C30:K31"/>
    <mergeCell ref="AB30:AD31"/>
    <mergeCell ref="AE30:AG31"/>
    <mergeCell ref="L30:P31"/>
    <mergeCell ref="Q30:S31"/>
    <mergeCell ref="T30:X31"/>
    <mergeCell ref="Y30:AA31"/>
    <mergeCell ref="AK28:AM29"/>
    <mergeCell ref="AN28:AQ29"/>
    <mergeCell ref="AH28:AJ29"/>
    <mergeCell ref="B28:B29"/>
    <mergeCell ref="C28:K29"/>
    <mergeCell ref="AB28:AD29"/>
    <mergeCell ref="AE28:AG29"/>
    <mergeCell ref="L28:P29"/>
    <mergeCell ref="Q28:S29"/>
    <mergeCell ref="T28:X29"/>
    <mergeCell ref="Y28:AA29"/>
    <mergeCell ref="AN26:AQ27"/>
    <mergeCell ref="B24:B25"/>
    <mergeCell ref="AH26:AJ27"/>
    <mergeCell ref="AK26:AM27"/>
    <mergeCell ref="B26:B27"/>
    <mergeCell ref="C24:K25"/>
    <mergeCell ref="AB24:AD25"/>
    <mergeCell ref="AE24:AG25"/>
    <mergeCell ref="C26:K27"/>
    <mergeCell ref="AB26:AD27"/>
    <mergeCell ref="AE26:AG27"/>
    <mergeCell ref="L24:P25"/>
    <mergeCell ref="Q24:S25"/>
    <mergeCell ref="L26:P27"/>
    <mergeCell ref="Q26:S27"/>
    <mergeCell ref="T26:X27"/>
    <mergeCell ref="Y26:AA27"/>
    <mergeCell ref="B22:B23"/>
    <mergeCell ref="C22:K23"/>
    <mergeCell ref="AB22:AD23"/>
    <mergeCell ref="AE22:AG23"/>
    <mergeCell ref="L22:P23"/>
    <mergeCell ref="Q22:S23"/>
    <mergeCell ref="T22:X23"/>
    <mergeCell ref="Y22:AA23"/>
    <mergeCell ref="B20:B21"/>
    <mergeCell ref="BJ18:BJ19"/>
    <mergeCell ref="BK18:BK19"/>
    <mergeCell ref="BL18:BL19"/>
    <mergeCell ref="BM18:BM19"/>
    <mergeCell ref="BN18:BN19"/>
    <mergeCell ref="BO18:BO19"/>
    <mergeCell ref="BD18:BD19"/>
    <mergeCell ref="BE18:BE19"/>
    <mergeCell ref="BF18:BF19"/>
    <mergeCell ref="BG18:BG19"/>
    <mergeCell ref="BH18:BH19"/>
    <mergeCell ref="BI18:BI19"/>
    <mergeCell ref="AY18:AY19"/>
    <mergeCell ref="Q18:S19"/>
    <mergeCell ref="L18:P19"/>
    <mergeCell ref="L20:P21"/>
    <mergeCell ref="Q20:S21"/>
    <mergeCell ref="Y18:AA19"/>
    <mergeCell ref="T18:X19"/>
    <mergeCell ref="Y20:AA21"/>
    <mergeCell ref="AZ18:AZ19"/>
    <mergeCell ref="AY20:AY21"/>
    <mergeCell ref="AZ20:AZ21"/>
    <mergeCell ref="BA18:BA19"/>
    <mergeCell ref="BQ16:BQ17"/>
    <mergeCell ref="BR16:BR17"/>
    <mergeCell ref="B18:B19"/>
    <mergeCell ref="BK16:BK17"/>
    <mergeCell ref="BL16:BL17"/>
    <mergeCell ref="BM16:BM17"/>
    <mergeCell ref="BN16:BN17"/>
    <mergeCell ref="BO16:BO17"/>
    <mergeCell ref="BP16:BP17"/>
    <mergeCell ref="BE16:BE17"/>
    <mergeCell ref="BF16:BF17"/>
    <mergeCell ref="BG16:BG17"/>
    <mergeCell ref="BH16:BH17"/>
    <mergeCell ref="BI16:BI17"/>
    <mergeCell ref="BJ16:BJ17"/>
    <mergeCell ref="AK16:AM17"/>
    <mergeCell ref="BP18:BP19"/>
    <mergeCell ref="BQ18:BQ19"/>
    <mergeCell ref="BR18:BR19"/>
    <mergeCell ref="L16:P17"/>
    <mergeCell ref="AY16:AY17"/>
    <mergeCell ref="AZ16:AZ17"/>
    <mergeCell ref="BA16:BA17"/>
    <mergeCell ref="BD16:BD17"/>
    <mergeCell ref="AH16:AJ17"/>
    <mergeCell ref="R14:U14"/>
    <mergeCell ref="V14:Y14"/>
    <mergeCell ref="Z14:AC14"/>
    <mergeCell ref="BB16:BB17"/>
    <mergeCell ref="BC16:BC17"/>
    <mergeCell ref="Q16:S17"/>
    <mergeCell ref="T16:X17"/>
    <mergeCell ref="Y16:AA17"/>
    <mergeCell ref="AI13:AQ14"/>
    <mergeCell ref="BA20:BA21"/>
    <mergeCell ref="BD20:BD21"/>
    <mergeCell ref="BE20:BE21"/>
    <mergeCell ref="BF20:BF21"/>
    <mergeCell ref="BG20:BG21"/>
    <mergeCell ref="BH20:BH21"/>
    <mergeCell ref="BI20:BI21"/>
    <mergeCell ref="BJ20:BJ21"/>
    <mergeCell ref="BK20:BK21"/>
    <mergeCell ref="BL20:BL21"/>
    <mergeCell ref="BM20:BM21"/>
    <mergeCell ref="BN20:BN21"/>
    <mergeCell ref="BO20:BO21"/>
    <mergeCell ref="BP20:BP21"/>
    <mergeCell ref="BQ20:BQ21"/>
    <mergeCell ref="BR20:BR21"/>
    <mergeCell ref="AY22:AY23"/>
    <mergeCell ref="AZ22:AZ23"/>
    <mergeCell ref="BA22:BA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Q22:BQ23"/>
    <mergeCell ref="BR22:BR23"/>
    <mergeCell ref="AY24:AY25"/>
    <mergeCell ref="AZ24:AZ25"/>
    <mergeCell ref="BA24:BA25"/>
    <mergeCell ref="BD24:BD25"/>
    <mergeCell ref="BE24:BE25"/>
    <mergeCell ref="BF24:BF25"/>
    <mergeCell ref="BG24:BG25"/>
    <mergeCell ref="BH24:BH25"/>
    <mergeCell ref="BI24:BI25"/>
    <mergeCell ref="BJ24:BJ25"/>
    <mergeCell ref="BK24:BK25"/>
    <mergeCell ref="BL24:BL25"/>
    <mergeCell ref="BM24:BM25"/>
    <mergeCell ref="BN24:BN25"/>
    <mergeCell ref="BO24:BO25"/>
    <mergeCell ref="BP24:BP25"/>
    <mergeCell ref="BQ24:BQ25"/>
    <mergeCell ref="BR24:BR25"/>
    <mergeCell ref="AY26:AY27"/>
    <mergeCell ref="AZ26:AZ27"/>
    <mergeCell ref="BA26:BA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Q26:BQ27"/>
    <mergeCell ref="BR26:BR27"/>
    <mergeCell ref="AY28:AY29"/>
    <mergeCell ref="AZ28:AZ29"/>
    <mergeCell ref="BA28:BA29"/>
    <mergeCell ref="BD28:BD29"/>
    <mergeCell ref="BE28:BE29"/>
    <mergeCell ref="BF28:BF29"/>
    <mergeCell ref="BG28:BG29"/>
    <mergeCell ref="BH28:BH29"/>
    <mergeCell ref="BI28:BI29"/>
    <mergeCell ref="BB28:BB29"/>
    <mergeCell ref="BC28:BC29"/>
    <mergeCell ref="BJ28:BJ29"/>
    <mergeCell ref="BK28:BK29"/>
    <mergeCell ref="BL28:BL29"/>
    <mergeCell ref="BM28:BM29"/>
    <mergeCell ref="BN28:BN29"/>
    <mergeCell ref="BO28:BO29"/>
    <mergeCell ref="BP28:BP29"/>
    <mergeCell ref="BQ28:BQ29"/>
    <mergeCell ref="BR28:BR29"/>
    <mergeCell ref="AY30:AY31"/>
    <mergeCell ref="AZ30:AZ31"/>
    <mergeCell ref="BA30:BA31"/>
    <mergeCell ref="BD30:BD31"/>
    <mergeCell ref="BE30:BE31"/>
    <mergeCell ref="BF30:BF31"/>
    <mergeCell ref="BG30:BG31"/>
    <mergeCell ref="BH30:BH31"/>
    <mergeCell ref="BI30:BI31"/>
    <mergeCell ref="BB30:BB31"/>
    <mergeCell ref="BC30:BC31"/>
    <mergeCell ref="BJ30:BJ31"/>
    <mergeCell ref="BK30:BK31"/>
    <mergeCell ref="BL30:BL31"/>
    <mergeCell ref="BM30:BM31"/>
    <mergeCell ref="BN30:BN31"/>
    <mergeCell ref="BO30:BO31"/>
    <mergeCell ref="BP30:BP31"/>
    <mergeCell ref="BQ30:BQ31"/>
    <mergeCell ref="BR30:BR31"/>
    <mergeCell ref="AY32:AY33"/>
    <mergeCell ref="AZ32:AZ33"/>
    <mergeCell ref="BA32:BA33"/>
    <mergeCell ref="BD32:BD33"/>
    <mergeCell ref="BE32:BE33"/>
    <mergeCell ref="BF32:BF33"/>
    <mergeCell ref="BG32:BG33"/>
    <mergeCell ref="BH32:BH33"/>
    <mergeCell ref="BI32:BI33"/>
    <mergeCell ref="BB32:BB33"/>
    <mergeCell ref="BC32:BC33"/>
    <mergeCell ref="BJ32:BJ33"/>
    <mergeCell ref="BK32:BK33"/>
    <mergeCell ref="BL32:BL33"/>
    <mergeCell ref="BM32:BM33"/>
    <mergeCell ref="BN32:BN33"/>
    <mergeCell ref="BO32:BO33"/>
    <mergeCell ref="BP32:BP33"/>
    <mergeCell ref="BQ32:BQ33"/>
    <mergeCell ref="BR32:BR33"/>
    <mergeCell ref="AY34:AY35"/>
    <mergeCell ref="AZ34:AZ35"/>
    <mergeCell ref="BA34:BA35"/>
    <mergeCell ref="BD34:BD35"/>
    <mergeCell ref="BE34:BE35"/>
    <mergeCell ref="BF34:BF35"/>
    <mergeCell ref="BG34:BG35"/>
    <mergeCell ref="BH34:BH35"/>
    <mergeCell ref="BI34:BI35"/>
    <mergeCell ref="BB34:BB35"/>
    <mergeCell ref="BC34:BC35"/>
    <mergeCell ref="BJ34:BJ35"/>
    <mergeCell ref="BK34:BK35"/>
    <mergeCell ref="BL34:BL35"/>
    <mergeCell ref="BM34:BM35"/>
    <mergeCell ref="BN34:BN35"/>
    <mergeCell ref="BO34:BO35"/>
    <mergeCell ref="BP34:BP35"/>
    <mergeCell ref="BQ34:BQ35"/>
    <mergeCell ref="BR34:BR35"/>
    <mergeCell ref="AY36:AY37"/>
    <mergeCell ref="AZ36:AZ37"/>
    <mergeCell ref="BA36:BA37"/>
    <mergeCell ref="BD36:BD37"/>
    <mergeCell ref="BE36:BE37"/>
    <mergeCell ref="BF36:BF37"/>
    <mergeCell ref="BG36:BG37"/>
    <mergeCell ref="BH36:BH37"/>
    <mergeCell ref="BI36:BI37"/>
    <mergeCell ref="BB36:BB37"/>
    <mergeCell ref="BC36:BC37"/>
    <mergeCell ref="BJ36:BJ37"/>
    <mergeCell ref="BK36:BK37"/>
    <mergeCell ref="BL36:BL37"/>
    <mergeCell ref="BM36:BM37"/>
    <mergeCell ref="BN36:BN37"/>
    <mergeCell ref="BO36:BO37"/>
    <mergeCell ref="BP36:BP37"/>
    <mergeCell ref="BQ36:BQ37"/>
    <mergeCell ref="BR36:BR37"/>
    <mergeCell ref="BS34:BS35"/>
    <mergeCell ref="BS36:BS37"/>
    <mergeCell ref="BS16:BS17"/>
    <mergeCell ref="BS18:BS19"/>
    <mergeCell ref="BS20:BS21"/>
    <mergeCell ref="BS22:BS23"/>
    <mergeCell ref="BS24:BS25"/>
    <mergeCell ref="BS26:BS27"/>
    <mergeCell ref="BS28:BS29"/>
    <mergeCell ref="BS30:BS31"/>
    <mergeCell ref="BS32:BS33"/>
    <mergeCell ref="BI200:BI201"/>
    <mergeCell ref="BB18:BB19"/>
    <mergeCell ref="BC18:BC19"/>
    <mergeCell ref="BB20:BB21"/>
    <mergeCell ref="BC20:BC21"/>
    <mergeCell ref="BB22:BB23"/>
    <mergeCell ref="BC22:BC23"/>
    <mergeCell ref="BB24:BB25"/>
    <mergeCell ref="BC24:BC25"/>
    <mergeCell ref="BB26:BB27"/>
    <mergeCell ref="BC26:BC27"/>
    <mergeCell ref="BB200:BB201"/>
    <mergeCell ref="BC200:BC201"/>
  </mergeCells>
  <conditionalFormatting sqref="L18 AB18:AG37 L20 Q20 T20 Y20">
    <cfRule type="expression" dxfId="106" priority="6">
      <formula>IF(AND($C18&lt;&gt;"",OR(ISBLANK(L18)=TRUE,L18="")),TRUE,FALSE)</formula>
    </cfRule>
  </conditionalFormatting>
  <conditionalFormatting sqref="L22 Q22 L24 Q24 L26 Q26 L28 Q28 L30 Q30 L32 Q32 L34 Q34 L36 Q36">
    <cfRule type="expression" dxfId="105" priority="4">
      <formula>IF(AND($C22&lt;&gt;"",OR(ISBLANK(L22)=TRUE,L22="")),TRUE,FALSE)</formula>
    </cfRule>
  </conditionalFormatting>
  <conditionalFormatting sqref="Q18 T18 Y18 C18:K37">
    <cfRule type="expression" dxfId="104" priority="8">
      <formula>IF(AND($C18&lt;&gt;"",OR(ISBLANK(C18)=TRUE,C18="")),TRUE,FALSE)</formula>
    </cfRule>
  </conditionalFormatting>
  <conditionalFormatting sqref="T22 Y22 T24 Y24 T26 Y26 T28 Y28 T30 Y30 T32 Y32 T34 Y34 T36 Y36">
    <cfRule type="expression" dxfId="103" priority="3">
      <formula>IF(AND($C22&lt;&gt;"",OR(ISBLANK(T22)=TRUE,T22="")),TRUE,FALSE)</formula>
    </cfRule>
  </conditionalFormatting>
  <conditionalFormatting sqref="AN18:AQ37">
    <cfRule type="expression" dxfId="102" priority="1" stopIfTrue="1">
      <formula>ISNUMBER($AN18)=FALSE</formula>
    </cfRule>
    <cfRule type="expression" dxfId="101" priority="5">
      <formula>$AN18 &lt;&gt; $BJ18</formula>
    </cfRule>
  </conditionalFormatting>
  <conditionalFormatting sqref="AQ8:AW8">
    <cfRule type="expression" dxfId="100" priority="1650">
      <formula>IF($AQ$8=PROJSTATMEASURE,FALSE,TRUE)</formula>
    </cfRule>
  </conditionalFormatting>
  <conditionalFormatting sqref="BB18:BC37 BH18:BH37">
    <cfRule type="expression" dxfId="99" priority="2">
      <formula>IF(AND(ISNUMBER($AK18),OR(BB18="Missing!",BB18="")),TRUE,FALSE)</formula>
    </cfRule>
  </conditionalFormatting>
  <dataValidations count="6">
    <dataValidation type="decimal" allowBlank="1" showInputMessage="1" showErrorMessage="1" sqref="X22:X37 P22:P37" xr:uid="{F99C5216-BE6D-4ECB-84A3-2C5A0567D27D}">
      <formula1>0</formula1>
      <formula2>999999</formula2>
    </dataValidation>
    <dataValidation type="decimal" allowBlank="1" showInputMessage="1" showErrorMessage="1" prompt="Input the total cost of the Baseline Equipment" sqref="AB18:AD37" xr:uid="{0EE5D38E-B60E-4B07-A218-1F3D7EE69E52}">
      <formula1>0</formula1>
      <formula2>999999999</formula2>
    </dataValidation>
    <dataValidation type="decimal" allowBlank="1" showInputMessage="1" showErrorMessage="1" prompt="Input the total cost of the Efficient Equipment" sqref="AE18:AG37" xr:uid="{4E858B81-4FA8-4A69-9884-9F135AC1976C}">
      <formula1>AB18</formula1>
      <formula2>999999999</formula2>
    </dataValidation>
    <dataValidation type="list" allowBlank="1" showInputMessage="1" showErrorMessage="1" sqref="C18:K37" xr:uid="{E380AEA3-03FE-43C4-BBBA-14E81DA049F6}">
      <formula1>CMEHVACLIST_N</formula1>
    </dataValidation>
    <dataValidation type="list" allowBlank="1" showInputMessage="1" sqref="BG18:BG37" xr:uid="{F8AAA54A-FF4C-4E4D-8EA7-AA1089F1C4A3}">
      <formula1>ENDUSECAT</formula1>
    </dataValidation>
    <dataValidation type="whole" operator="greaterThanOrEqual" allowBlank="1" showInputMessage="1" showErrorMessage="1" errorTitle="Invalid Entry" error="Value must be a whole number." sqref="Q18:S37 Y18:AA37" xr:uid="{BB3AFFAF-E2A8-41C7-B068-0CA16C0F9E68}">
      <formula1>0</formula1>
    </dataValidation>
  </dataValidations>
  <hyperlinks>
    <hyperlink ref="G9:J11" location="'M03-S04'!C18" tooltip="Refrigeration" display="'M03-S04'!C18" xr:uid="{4DBB51C3-F5AE-48AD-AE4F-71B01BF63560}"/>
    <hyperlink ref="K9:N11" location="'M03-S05'!C18" tooltip="HVAC" display="'M03-S05'!C18" xr:uid="{21CF1368-59E2-457A-9CAB-2810A6A57E84}"/>
    <hyperlink ref="S9:V11" location="'M03-S06'!C18" tooltip="Compressed Air / Process" display="'M03-S06'!C18" xr:uid="{3520C372-6CCE-4746-83F0-381EA2D9953D}"/>
    <hyperlink ref="W9:Z11" location="'M03-S07'!C18" tooltip="Water Heating / Cooking" display="'M03-S07'!C18" xr:uid="{F950A3F1-6AD1-4C10-BAE5-CFA590C02771}"/>
    <hyperlink ref="O9:R11" location="'M03-S08'!C18" tooltip="Motors and Drives" display="'M03-S08'!C18" xr:uid="{6B68113F-E029-47B5-9E1C-50003A985937}"/>
    <hyperlink ref="AA9:AD11" location="'M04-S09'!C18" tooltip="Miscellaneous" display="'M04-S09'!C18" xr:uid="{AE7755C2-029E-4E36-A36D-89A7A85A0097}"/>
    <hyperlink ref="B202" r:id="rId1" display="businessrebates@evergy.com" xr:uid="{13DF33A8-0F1E-4520-82A0-EBF8EE5F2F54}"/>
  </hyperlinks>
  <printOptions horizontalCentered="1"/>
  <pageMargins left="0" right="0" top="0" bottom="0" header="0" footer="0"/>
  <pageSetup scale="4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DE779-35CF-4516-AC3B-24A9D0C9F471}">
  <sheetPr codeName="Sheet81">
    <tabColor theme="9" tint="0.59999389629810485"/>
    <pageSetUpPr fitToPage="1"/>
  </sheetPr>
  <dimension ref="A1:BS204"/>
  <sheetViews>
    <sheetView showGridLines="0" showRowColHeaders="0" zoomScale="85" zoomScaleNormal="85" workbookViewId="0">
      <selection activeCell="C18" sqref="C18:K19"/>
    </sheetView>
  </sheetViews>
  <sheetFormatPr defaultColWidth="0" defaultRowHeight="0" customHeight="1" zeroHeight="1"/>
  <cols>
    <col min="1" max="49" width="4.7109375" customWidth="1"/>
    <col min="50" max="50" width="4.7109375" hidden="1"/>
    <col min="51" max="68" width="9.7109375" hidden="1"/>
    <col min="69" max="69" width="10.5703125" hidden="1"/>
    <col min="70" max="70" width="8.7109375" hidden="1"/>
    <col min="71" max="71" width="9.140625" hidden="1"/>
    <col min="72" max="16384" width="4.7109375" hidden="1"/>
  </cols>
  <sheetData>
    <row r="1" spans="1:71"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71"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71"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71" ht="15.95" customHeight="1">
      <c r="B4" s="199"/>
      <c r="C4" s="199"/>
      <c r="D4" s="199"/>
      <c r="E4" s="199"/>
    </row>
    <row r="5" spans="1:71" ht="15.95" customHeight="1">
      <c r="A5" s="667">
        <f>INCENTOTAL_N</f>
        <v>0</v>
      </c>
      <c r="B5" s="667"/>
      <c r="C5" s="667"/>
      <c r="D5" s="667"/>
      <c r="E5" s="667"/>
      <c r="AQ5" s="668">
        <f ca="1">PROGRESSSTATUS_N</f>
        <v>0</v>
      </c>
      <c r="AR5" s="668"/>
      <c r="AS5" s="668"/>
      <c r="AT5" s="668"/>
      <c r="AU5" s="668"/>
      <c r="AV5" s="557"/>
      <c r="AW5" s="557"/>
      <c r="AY5" s="21"/>
      <c r="AZ5" s="110" t="s">
        <v>844</v>
      </c>
      <c r="BA5" s="110" t="s">
        <v>198</v>
      </c>
      <c r="BB5" s="43"/>
      <c r="BC5" s="43"/>
    </row>
    <row r="6" spans="1:71" ht="15.95" customHeight="1">
      <c r="A6" s="667"/>
      <c r="B6" s="667"/>
      <c r="C6" s="667"/>
      <c r="D6" s="667"/>
      <c r="E6" s="667"/>
      <c r="AQ6" s="668"/>
      <c r="AR6" s="668"/>
      <c r="AS6" s="668"/>
      <c r="AT6" s="668"/>
      <c r="AU6" s="668"/>
      <c r="AV6" s="557"/>
      <c r="AW6" s="557"/>
      <c r="AY6" s="109" t="s">
        <v>26</v>
      </c>
      <c r="AZ6" s="108" t="str">
        <f>CBLIGHT_N</f>
        <v>NA</v>
      </c>
      <c r="BA6" s="176" t="str">
        <f>PAYLIGHT_N</f>
        <v>NA</v>
      </c>
      <c r="BB6" s="43"/>
      <c r="BC6" s="43"/>
    </row>
    <row r="7" spans="1:71" ht="15.95" customHeight="1">
      <c r="A7" s="665" t="s">
        <v>20</v>
      </c>
      <c r="B7" s="665"/>
      <c r="C7" s="665"/>
      <c r="D7" s="665"/>
      <c r="E7" s="665"/>
      <c r="AQ7" s="665" t="s">
        <v>179</v>
      </c>
      <c r="AR7" s="665"/>
      <c r="AS7" s="665"/>
      <c r="AT7" s="665"/>
      <c r="AU7" s="665"/>
      <c r="AV7" s="556"/>
      <c r="AW7" s="556"/>
      <c r="AY7" s="109" t="s">
        <v>50</v>
      </c>
      <c r="AZ7" s="108" t="str">
        <f>CBCUST_N</f>
        <v>NA</v>
      </c>
      <c r="BA7" s="176" t="str">
        <f>PAYCUST_N</f>
        <v>NA</v>
      </c>
      <c r="BB7" s="43"/>
      <c r="BC7" s="43"/>
    </row>
    <row r="8" spans="1:71" ht="15.95" customHeight="1" thickBot="1">
      <c r="A8" s="665"/>
      <c r="B8" s="665"/>
      <c r="C8" s="665"/>
      <c r="D8" s="665"/>
      <c r="E8" s="665"/>
      <c r="AQ8" s="674" t="str">
        <f ca="1">PROJSTATUS_N</f>
        <v>Enter Measures</v>
      </c>
      <c r="AR8" s="674"/>
      <c r="AS8" s="674"/>
      <c r="AT8" s="674"/>
      <c r="AU8" s="674"/>
      <c r="AV8" s="558"/>
      <c r="AW8" s="558"/>
      <c r="AY8" s="109" t="s">
        <v>273</v>
      </c>
      <c r="AZ8" s="108" t="str">
        <f>CBPROJ_N</f>
        <v>NA</v>
      </c>
      <c r="BA8" s="176" t="str">
        <f>PAYPROJ_N</f>
        <v>NA</v>
      </c>
      <c r="BB8" s="43"/>
      <c r="BC8" s="43"/>
    </row>
    <row r="9" spans="1:71" s="79" customFormat="1" ht="15.95" customHeight="1">
      <c r="B9" s="101"/>
      <c r="C9" s="101"/>
      <c r="D9" s="101"/>
      <c r="E9" s="102"/>
      <c r="F9" s="102"/>
      <c r="G9" s="930" t="str">
        <f>N4S1</f>
        <v>HVAC</v>
      </c>
      <c r="H9" s="931"/>
      <c r="I9" s="931"/>
      <c r="J9" s="931"/>
      <c r="K9" s="925" t="str">
        <f>N4S2</f>
        <v>Motors and Drives</v>
      </c>
      <c r="L9" s="925"/>
      <c r="M9" s="925"/>
      <c r="N9" s="925"/>
      <c r="O9" s="930" t="str">
        <f>N4S3</f>
        <v>Compressed Air / Process</v>
      </c>
      <c r="P9" s="930"/>
      <c r="Q9" s="930"/>
      <c r="R9" s="930"/>
      <c r="S9" s="930" t="str">
        <f>N4S4</f>
        <v>Refrigeration</v>
      </c>
      <c r="T9" s="930"/>
      <c r="U9" s="930"/>
      <c r="V9" s="930"/>
      <c r="W9" s="930" t="str">
        <f>N4S5</f>
        <v>Water Heating / Food Services</v>
      </c>
      <c r="X9" s="931"/>
      <c r="Y9" s="931"/>
      <c r="Z9" s="931"/>
      <c r="AA9" s="930" t="str">
        <f>N4S6</f>
        <v>Miscellaneous</v>
      </c>
      <c r="AB9" s="931"/>
      <c r="AC9" s="931"/>
      <c r="AD9" s="931"/>
      <c r="AE9" s="101"/>
      <c r="AF9" s="101"/>
      <c r="AG9" s="101"/>
      <c r="AH9" s="101"/>
      <c r="AI9" s="101"/>
      <c r="AJ9" s="101"/>
      <c r="AK9" s="101"/>
      <c r="AL9" s="101"/>
      <c r="AM9" s="101"/>
      <c r="AN9" s="101"/>
      <c r="AO9" s="197"/>
      <c r="AP9" s="197"/>
      <c r="AQ9" s="197"/>
      <c r="AR9" s="197"/>
      <c r="AS9" s="197"/>
      <c r="AT9" s="197"/>
      <c r="AU9" s="197"/>
      <c r="AV9" s="197"/>
      <c r="AW9" s="197"/>
      <c r="AX9"/>
      <c r="AY9" s="107" t="s">
        <v>828</v>
      </c>
      <c r="AZ9" s="399" t="str">
        <f ca="1">NEWCONCODE</f>
        <v>IECC 2012</v>
      </c>
    </row>
    <row r="10" spans="1:71" s="79" customFormat="1" ht="15.95" customHeight="1">
      <c r="B10" s="80"/>
      <c r="C10" s="80"/>
      <c r="D10" s="80"/>
      <c r="F10"/>
      <c r="G10" s="932"/>
      <c r="H10" s="932"/>
      <c r="I10" s="932"/>
      <c r="J10" s="932"/>
      <c r="K10" s="926"/>
      <c r="L10" s="926"/>
      <c r="M10" s="926"/>
      <c r="N10" s="926"/>
      <c r="O10" s="1113"/>
      <c r="P10" s="1113"/>
      <c r="Q10" s="1113"/>
      <c r="R10" s="1113"/>
      <c r="S10" s="1113"/>
      <c r="T10" s="1113"/>
      <c r="U10" s="1113"/>
      <c r="V10" s="1113"/>
      <c r="W10" s="932"/>
      <c r="X10" s="932"/>
      <c r="Y10" s="932"/>
      <c r="Z10" s="932"/>
      <c r="AA10" s="932"/>
      <c r="AB10" s="932"/>
      <c r="AC10" s="932"/>
      <c r="AD10" s="932"/>
      <c r="AE10" s="80"/>
      <c r="AO10"/>
      <c r="AP10"/>
      <c r="AQ10" s="80"/>
      <c r="AR10" s="80"/>
      <c r="AX10"/>
    </row>
    <row r="11" spans="1:71" ht="15.95" customHeight="1">
      <c r="B11" s="97"/>
      <c r="C11" s="97"/>
      <c r="D11" s="97"/>
      <c r="G11" s="932"/>
      <c r="H11" s="932"/>
      <c r="I11" s="932"/>
      <c r="J11" s="932"/>
      <c r="K11" s="926"/>
      <c r="L11" s="926"/>
      <c r="M11" s="926"/>
      <c r="N11" s="926"/>
      <c r="O11" s="1113"/>
      <c r="P11" s="1113"/>
      <c r="Q11" s="1113"/>
      <c r="R11" s="1113"/>
      <c r="S11" s="1113"/>
      <c r="T11" s="1113"/>
      <c r="U11" s="1113"/>
      <c r="V11" s="1113"/>
      <c r="W11" s="932"/>
      <c r="X11" s="932"/>
      <c r="Y11" s="932"/>
      <c r="Z11" s="932"/>
      <c r="AA11" s="932"/>
      <c r="AB11" s="932"/>
      <c r="AC11" s="932"/>
      <c r="AD11" s="932"/>
      <c r="AE11" s="97"/>
      <c r="AQ11" s="97"/>
      <c r="AR11" s="97"/>
    </row>
    <row r="12" spans="1:71" ht="15.95" customHeight="1">
      <c r="A12" s="77"/>
      <c r="B12" s="77"/>
      <c r="C12" s="77"/>
      <c r="D12" s="77"/>
      <c r="E12" s="77"/>
      <c r="R12" s="789">
        <f>SUM(AN18:AQ184)</f>
        <v>0</v>
      </c>
      <c r="S12" s="789"/>
      <c r="T12" s="789"/>
      <c r="U12" s="789"/>
      <c r="V12" s="789">
        <f ca="1">SUMIF(AN18:AQ184,"&gt;0",AH18:AJ184)</f>
        <v>0</v>
      </c>
      <c r="W12" s="789"/>
      <c r="X12" s="789"/>
      <c r="Y12" s="789"/>
      <c r="Z12" s="790">
        <f ca="1">SUMIF(AN18:AQ184,"&gt;0",AK18:AM184)</f>
        <v>0</v>
      </c>
      <c r="AA12" s="790"/>
      <c r="AB12" s="790"/>
      <c r="AC12" s="790"/>
      <c r="AP12" s="456"/>
    </row>
    <row r="13" spans="1:71" ht="15.95" customHeight="1">
      <c r="A13" s="77"/>
      <c r="B13" s="77"/>
      <c r="R13" s="789"/>
      <c r="S13" s="789"/>
      <c r="T13" s="789"/>
      <c r="U13" s="789"/>
      <c r="V13" s="789"/>
      <c r="W13" s="789"/>
      <c r="X13" s="789"/>
      <c r="Y13" s="789"/>
      <c r="Z13" s="790"/>
      <c r="AA13" s="790"/>
      <c r="AB13" s="790"/>
      <c r="AC13" s="790"/>
      <c r="AI13" s="933" t="str">
        <f>IF(IFERROR(MATCH("100% Incremental Cost", BP:BP, 0), FALSE), "The incentive for one or more measures is capped due to measure cost.", "")</f>
        <v/>
      </c>
      <c r="AJ13" s="933"/>
      <c r="AK13" s="933"/>
      <c r="AL13" s="933"/>
      <c r="AM13" s="933"/>
      <c r="AN13" s="933"/>
      <c r="AO13" s="933"/>
      <c r="AP13" s="933"/>
      <c r="AQ13" s="933"/>
    </row>
    <row r="14" spans="1:71" ht="15.95" customHeight="1">
      <c r="R14" s="793" t="s">
        <v>1204</v>
      </c>
      <c r="S14" s="793"/>
      <c r="T14" s="793"/>
      <c r="U14" s="793"/>
      <c r="V14" s="793" t="s">
        <v>4</v>
      </c>
      <c r="W14" s="793"/>
      <c r="X14" s="793"/>
      <c r="Y14" s="793"/>
      <c r="Z14" s="793" t="s">
        <v>776</v>
      </c>
      <c r="AA14" s="793"/>
      <c r="AB14" s="793"/>
      <c r="AC14" s="793"/>
      <c r="AI14" s="933"/>
      <c r="AJ14" s="933"/>
      <c r="AK14" s="933"/>
      <c r="AL14" s="933"/>
      <c r="AM14" s="933"/>
      <c r="AN14" s="933"/>
      <c r="AO14" s="933"/>
      <c r="AP14" s="933"/>
      <c r="AQ14" s="933"/>
    </row>
    <row r="15" spans="1:71" ht="15.95" customHeight="1"/>
    <row r="16" spans="1:71" ht="15.95" customHeight="1">
      <c r="B16" s="21"/>
      <c r="C16" s="794" t="s">
        <v>811</v>
      </c>
      <c r="D16" s="794"/>
      <c r="E16" s="794"/>
      <c r="F16" s="794"/>
      <c r="G16" s="794"/>
      <c r="H16" s="794"/>
      <c r="I16" s="794"/>
      <c r="J16" s="794"/>
      <c r="K16" s="794"/>
      <c r="L16" s="794" t="s">
        <v>840</v>
      </c>
      <c r="M16" s="794"/>
      <c r="N16" s="794"/>
      <c r="O16" s="794"/>
      <c r="P16" s="794"/>
      <c r="Q16" s="794" t="s">
        <v>1971</v>
      </c>
      <c r="R16" s="794"/>
      <c r="S16" s="794"/>
      <c r="T16" s="794" t="s">
        <v>841</v>
      </c>
      <c r="U16" s="794"/>
      <c r="V16" s="794"/>
      <c r="W16" s="794"/>
      <c r="X16" s="794"/>
      <c r="Y16" s="794" t="s">
        <v>1972</v>
      </c>
      <c r="Z16" s="794"/>
      <c r="AA16" s="794"/>
      <c r="AB16" s="794" t="s">
        <v>1525</v>
      </c>
      <c r="AC16" s="794"/>
      <c r="AD16" s="794"/>
      <c r="AE16" s="794" t="s">
        <v>1526</v>
      </c>
      <c r="AF16" s="794"/>
      <c r="AG16" s="794"/>
      <c r="AH16" s="794" t="s">
        <v>832</v>
      </c>
      <c r="AI16" s="794"/>
      <c r="AJ16" s="794"/>
      <c r="AK16" s="794" t="s">
        <v>725</v>
      </c>
      <c r="AL16" s="794"/>
      <c r="AM16" s="794"/>
      <c r="AN16" s="794" t="s">
        <v>20</v>
      </c>
      <c r="AO16" s="794"/>
      <c r="AP16" s="794"/>
      <c r="AQ16" s="794"/>
      <c r="AY16" s="796" t="s">
        <v>48</v>
      </c>
      <c r="AZ16" s="796" t="s">
        <v>198</v>
      </c>
      <c r="BA16" s="796" t="s">
        <v>733</v>
      </c>
      <c r="BB16" s="796" t="s">
        <v>2039</v>
      </c>
      <c r="BC16" s="796" t="s">
        <v>850</v>
      </c>
      <c r="BD16" s="796" t="s">
        <v>300</v>
      </c>
      <c r="BE16" s="796" t="s">
        <v>822</v>
      </c>
      <c r="BF16" s="796" t="s">
        <v>25</v>
      </c>
      <c r="BG16" s="796" t="s">
        <v>836</v>
      </c>
      <c r="BH16" s="796" t="s">
        <v>838</v>
      </c>
      <c r="BI16" s="796" t="s">
        <v>1012</v>
      </c>
      <c r="BJ16" s="798" t="s">
        <v>1321</v>
      </c>
      <c r="BK16" s="798" t="s">
        <v>320</v>
      </c>
      <c r="BL16" s="796"/>
      <c r="BM16" s="796"/>
      <c r="BN16" s="796" t="s">
        <v>1240</v>
      </c>
      <c r="BO16" s="796" t="s">
        <v>22</v>
      </c>
      <c r="BP16" s="796" t="s">
        <v>837</v>
      </c>
      <c r="BQ16" s="796" t="s">
        <v>185</v>
      </c>
      <c r="BR16" s="798" t="s">
        <v>1324</v>
      </c>
      <c r="BS16" s="798" t="s">
        <v>1903</v>
      </c>
    </row>
    <row r="17" spans="1:71" ht="15.95" customHeight="1" thickBot="1">
      <c r="B17" s="21"/>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Y17" s="797"/>
      <c r="AZ17" s="797"/>
      <c r="BA17" s="797"/>
      <c r="BB17" s="797"/>
      <c r="BC17" s="797"/>
      <c r="BD17" s="797"/>
      <c r="BE17" s="797"/>
      <c r="BF17" s="797"/>
      <c r="BG17" s="797"/>
      <c r="BH17" s="797"/>
      <c r="BI17" s="797"/>
      <c r="BJ17" s="799"/>
      <c r="BK17" s="799"/>
      <c r="BL17" s="797"/>
      <c r="BM17" s="797"/>
      <c r="BN17" s="797"/>
      <c r="BO17" s="797"/>
      <c r="BP17" s="797"/>
      <c r="BQ17" s="797"/>
      <c r="BR17" s="799"/>
      <c r="BS17" s="799"/>
    </row>
    <row r="18" spans="1:71" ht="15.95" customHeight="1">
      <c r="B18" s="800">
        <v>1</v>
      </c>
      <c r="C18" s="1107"/>
      <c r="D18" s="1108"/>
      <c r="E18" s="1108"/>
      <c r="F18" s="1108"/>
      <c r="G18" s="1108"/>
      <c r="H18" s="1108"/>
      <c r="I18" s="1108"/>
      <c r="J18" s="1108"/>
      <c r="K18" s="1108"/>
      <c r="L18" s="1079"/>
      <c r="M18" s="1079"/>
      <c r="N18" s="1079"/>
      <c r="O18" s="1079"/>
      <c r="P18" s="1118"/>
      <c r="Q18" s="1116"/>
      <c r="R18" s="1076"/>
      <c r="S18" s="1076"/>
      <c r="T18" s="1079"/>
      <c r="U18" s="1079"/>
      <c r="V18" s="1079"/>
      <c r="W18" s="1079"/>
      <c r="X18" s="1118"/>
      <c r="Y18" s="1116"/>
      <c r="Z18" s="1076"/>
      <c r="AA18" s="1076"/>
      <c r="AB18" s="1109"/>
      <c r="AC18" s="1109"/>
      <c r="AD18" s="1110"/>
      <c r="AE18" s="1111"/>
      <c r="AF18" s="1112"/>
      <c r="AG18" s="1112"/>
      <c r="AH18" s="1114" t="str">
        <f>IF(OR(C18="",L18="",Q18="",T18="",Y18="",AB18="",AE18=""),"",ROUND(AE18-AB18,2))</f>
        <v/>
      </c>
      <c r="AI18" s="1114"/>
      <c r="AJ18" s="1115"/>
      <c r="AK18" s="831" t="str">
        <f>IF(OR(C18="",L18="",Q18="",T18="",Y18="",AB18="",AE18=""),"",IF(BD18-BE18&lt;=0,0,ROUND(BD18-BE18,0)))</f>
        <v/>
      </c>
      <c r="AL18" s="831"/>
      <c r="AM18" s="831"/>
      <c r="AN18" s="833" t="str">
        <f>IF(OR(C18="",L18="",Q18="",T18="",Y18="",AB18="",AE18=""),"",
IF(BQ18&lt;&gt;"",BQ18,IF(BS18&gt;0,BS18,
IF(ACTIVEBLOCK_N="Yes",ROUND(MIN(AH18*INCCOSTCAP,AK18*BLOCKBIDRATE),2),
ROUND(MIN(AH18*INCCOSTCAP,BJ18),2))
)))</f>
        <v/>
      </c>
      <c r="AO18" s="833"/>
      <c r="AP18" s="833"/>
      <c r="AQ18" s="833"/>
      <c r="AY18" s="835" t="str">
        <f>IFERROR(IF(OR(C18="",L18="",Q18="",T18="",Y18="",AB18="",AE18=""),"",ROUND(BR18/AH18,2)),0)</f>
        <v/>
      </c>
      <c r="AZ18" s="835" t="str">
        <f>IFERROR(AH18/N02S03F14/AK18,"")</f>
        <v/>
      </c>
      <c r="BA18" s="815" t="str">
        <f>IF(C18="","",INDEX(CMEMOTOR_N[Unit of Measure],MATCH(C18,CMEMOTOR_N[Proj Desc 1],0)))</f>
        <v/>
      </c>
      <c r="BB18" s="849" t="str">
        <f>IF(AK18&lt;&gt;"","Missing!","")</f>
        <v/>
      </c>
      <c r="BC18" s="849" t="str">
        <f>IF(AK18&lt;&gt;"","Missing!","")</f>
        <v/>
      </c>
      <c r="BD18" s="1065" t="str">
        <f t="shared" ref="BD18:BD20" si="0">IF(OR(C18="",L18="",Q18="",T18="",Y18="",AB18="",AE18=""),"",ROUND(Q18,0))</f>
        <v/>
      </c>
      <c r="BE18" s="837" t="str">
        <f>IF(OR(C18="",L18="",Q18="",T18="",Y18="",AB18="",AE18=""),"",ROUND(Y18,0))</f>
        <v/>
      </c>
      <c r="BF18" s="843" t="str">
        <f>IF(C18="","",IF(INDEX(CMEMOTOR_N[EUL],MATCH(C18,CMEMOTOR_N[Proj Desc 1],0))="","",INDEX(CMEMOTOR_N[EUL],MATCH(C18,CMEMOTOR_N[Proj Desc 1],0))))</f>
        <v/>
      </c>
      <c r="BG18" s="845" t="str">
        <f>IF(C18="","",IF(INDEX(CMEMOTOR_N[End Use Category],MATCH(C18,CMEMOTOR_N[Proj Desc 1],0))="","",INDEX(CMEMOTOR_N[End Use Category],MATCH(C18,CMEMOTOR_N[Proj Desc 1],0))))</f>
        <v/>
      </c>
      <c r="BH18" s="837" t="str">
        <f>IFERROR(IF(OR(C18="",L18="",Q18="",T18="",Y18="",AB18="",AE18=""),"",ROUND(AK18*INDEX(ENDUSEALL[Factor],MATCH(BG18,ENDUSEALL[End Use to Coincident Peak Demand Factors],0)),4)),"")</f>
        <v/>
      </c>
      <c r="BI18" s="874"/>
      <c r="BJ18" s="787" t="str">
        <f>IFERROR(ROUND(AK18*BK18,2),"")</f>
        <v/>
      </c>
      <c r="BK18" s="787" t="str">
        <f>_xlfn.LET(_xlpm.ROWS,MATCH(BG18,ENDUSEALL[End Use to Coincident Peak Demand Factors],0),IFERROR(INDEX(IF(AND(ACTIVEBONUS_N = TRUE,INDEX(ENDUSEALL[Bonus Rate ($/kWh)],_xlpm.ROWS)&lt;&gt;""),ENDUSEALL[Bonus Rate ($/kWh)],ENDUSEALL[Rate ($/kWh)]),_xlpm.ROWS),""))</f>
        <v/>
      </c>
      <c r="BL18" s="829"/>
      <c r="BM18" s="829"/>
      <c r="BN18" s="1069" t="str">
        <f>_xlfn.LET(_xlpm.BONUS_RATE,INDEX(ENDUSEALL[Bonus Rate ($/kWh)],MATCH(BG18,ENDUSEALL[End Use to Coincident Peak Demand Factors],0)),_xlpm.BASE_RATE,INDEX(ENDUSEALL[Rate ($/kWh)],MATCH(BG18,ENDUSEALL[End Use to Coincident Peak Demand Factors],0)),IFERROR(IF(OR(ACTIVEBONUS_N &lt;&gt; TRUE,ISNUMBER(AN18) = FALSE,BS18 &lt;&gt; ""),"",AN18-(AK18*_xlpm.BASE_RATE)),""))</f>
        <v/>
      </c>
      <c r="BO18" s="1070" t="str">
        <f>IF(OR(C18="",L18="",Q18="",T18="",Y18="",AB18="",AE18=""),"",IF(BQ18&lt;&gt;"",SPILLOVERNUMBER,INDEX(CMEMOTOR_N[Measure Number],MATCH(C18,CMEMOTOR_N[Proj Desc 1],0))))</f>
        <v/>
      </c>
      <c r="BP18" s="815" t="str">
        <f>IFERROR(
IF(BS18="",
IF(AND(ROUND(AN18/AH18,2)=INCCOSTCAP,BJ18/AH18&gt;INCCOSTCAP),
"100% Incremental Cost",
IF(BK18&lt;KWHRATEMIN,
"kWh Incentive Rate Min",
IF(BK18&gt;KWHRATEMAX,
"kWh Incentive Rate Cap",
IF(AN18=BN18,
"Bonus Incentive",
"kWh Incentive"
)))),""),
"")</f>
        <v/>
      </c>
      <c r="BQ18" s="815" t="str">
        <f ca="1">IFERROR(IF(EXPIRATION&lt;&gt;"",PROJSTATEXP,
IF(BS18&gt;0,"",
IF(BD18-BE18&lt;=0,MEASURESAVE,
IF(OR(N02S03F14="",N02S03F14="Select Rate Code",N02S03F14=0),MEASURERATE,
IF(AND(ISNUMBER(SEARCH("Others",C18)),OR(BF18="",BG18="")),MEASURESUBMIT,
IF(AH18&lt;=0,MEASUREINCR,
IF(PAYPROJ_N&lt;PAYBACKREQ,PROJECTSTATPAYBACK,
IF(CBPROJ_N&lt;CBREQ,PROJECTSTATCB,"")))))))),MEASURESUBMIT)</f>
        <v>Submit for Review</v>
      </c>
      <c r="BR18" s="787" t="str">
        <f>IFERROR(IF(OR(C18="",L18="",Q18="",T18="",Y18="",AB18="",AE18=""),"",
ROUND(((1+ELOSS)*((AK18*INDEX(ELECCB[NPV AEC $/kWh],MATCH(BF18,ELECCB[Year Number],1)))+(BH18*INDEX(ELECCB[NPV ACC $/kW],MATCH(BF18,ELECCB[Year Number],1))))),2)),0)</f>
        <v/>
      </c>
      <c r="BS18" s="853"/>
    </row>
    <row r="19" spans="1:71" ht="15.95" customHeight="1">
      <c r="B19" s="800"/>
      <c r="C19" s="1091"/>
      <c r="D19" s="1092"/>
      <c r="E19" s="1092"/>
      <c r="F19" s="1092"/>
      <c r="G19" s="1092"/>
      <c r="H19" s="1092"/>
      <c r="I19" s="1092"/>
      <c r="J19" s="1092"/>
      <c r="K19" s="1092"/>
      <c r="L19" s="1081"/>
      <c r="M19" s="1081"/>
      <c r="N19" s="1081"/>
      <c r="O19" s="1081"/>
      <c r="P19" s="1119"/>
      <c r="Q19" s="1117"/>
      <c r="R19" s="1078"/>
      <c r="S19" s="1078"/>
      <c r="T19" s="1081"/>
      <c r="U19" s="1081"/>
      <c r="V19" s="1081"/>
      <c r="W19" s="1081"/>
      <c r="X19" s="1119"/>
      <c r="Y19" s="1117"/>
      <c r="Z19" s="1078"/>
      <c r="AA19" s="1078"/>
      <c r="AB19" s="1093"/>
      <c r="AC19" s="1093"/>
      <c r="AD19" s="1094"/>
      <c r="AE19" s="1095"/>
      <c r="AF19" s="1096"/>
      <c r="AG19" s="1096"/>
      <c r="AH19" s="1105"/>
      <c r="AI19" s="1105"/>
      <c r="AJ19" s="1106"/>
      <c r="AK19" s="832"/>
      <c r="AL19" s="832"/>
      <c r="AM19" s="832"/>
      <c r="AN19" s="834"/>
      <c r="AO19" s="834"/>
      <c r="AP19" s="834"/>
      <c r="AQ19" s="834"/>
      <c r="AY19" s="836"/>
      <c r="AZ19" s="836"/>
      <c r="BA19" s="816"/>
      <c r="BB19" s="850"/>
      <c r="BC19" s="850"/>
      <c r="BD19" s="837"/>
      <c r="BE19" s="838"/>
      <c r="BF19" s="844"/>
      <c r="BG19" s="846"/>
      <c r="BH19" s="838"/>
      <c r="BI19" s="875"/>
      <c r="BJ19" s="788"/>
      <c r="BK19" s="788"/>
      <c r="BL19" s="830"/>
      <c r="BM19" s="830"/>
      <c r="BN19" s="1090"/>
      <c r="BO19" s="1071"/>
      <c r="BP19" s="816"/>
      <c r="BQ19" s="816"/>
      <c r="BR19" s="788"/>
      <c r="BS19" s="854"/>
    </row>
    <row r="20" spans="1:71" ht="15.95" customHeight="1">
      <c r="A20" s="76"/>
      <c r="B20" s="800">
        <v>2</v>
      </c>
      <c r="C20" s="1091"/>
      <c r="D20" s="1092"/>
      <c r="E20" s="1092"/>
      <c r="F20" s="1092"/>
      <c r="G20" s="1092"/>
      <c r="H20" s="1092"/>
      <c r="I20" s="1092"/>
      <c r="J20" s="1092"/>
      <c r="K20" s="1092"/>
      <c r="L20" s="1083"/>
      <c r="M20" s="1083"/>
      <c r="N20" s="1083"/>
      <c r="O20" s="1083"/>
      <c r="P20" s="1121"/>
      <c r="Q20" s="1120"/>
      <c r="R20" s="1086"/>
      <c r="S20" s="1086"/>
      <c r="T20" s="1083"/>
      <c r="U20" s="1083"/>
      <c r="V20" s="1083"/>
      <c r="W20" s="1083"/>
      <c r="X20" s="1121"/>
      <c r="Y20" s="1120"/>
      <c r="Z20" s="1086"/>
      <c r="AA20" s="1086"/>
      <c r="AB20" s="1093"/>
      <c r="AC20" s="1093"/>
      <c r="AD20" s="1094"/>
      <c r="AE20" s="1095"/>
      <c r="AF20" s="1096"/>
      <c r="AG20" s="1096"/>
      <c r="AH20" s="1103" t="str">
        <f t="shared" ref="AH20" si="1">IF(OR(C20="",L20="",Q20="",T20="",Y20="",AB20="",AE20=""),"",ROUND(AE20-AB20,2))</f>
        <v/>
      </c>
      <c r="AI20" s="1103"/>
      <c r="AJ20" s="1104"/>
      <c r="AK20" s="831" t="str">
        <f t="shared" ref="AK20" si="2">IF(OR(C20="",L20="",Q20="",T20="",Y20="",AB20="",AE20=""),"",IF(BD20-BE20&lt;=0,0,ROUND(BD20-BE20,0)))</f>
        <v/>
      </c>
      <c r="AL20" s="831"/>
      <c r="AM20" s="831"/>
      <c r="AN20" s="1097" t="str">
        <f>IF(OR(C20="",L20="",Q20="",T20="",Y20="",AB20="",AE20=""),"",
IF(BQ20&lt;&gt;"",BQ20,IF(BS20&gt;0,BS20,
IF(ACTIVEBLOCK_N="Yes",ROUND(MIN(AH20*INCCOSTCAP,AK20*BLOCKBIDRATE),2),
ROUND(MIN(AH20*INCCOSTCAP,BJ20),2))
)))</f>
        <v/>
      </c>
      <c r="AO20" s="1098"/>
      <c r="AP20" s="1098"/>
      <c r="AQ20" s="1099"/>
      <c r="AY20" s="835" t="str">
        <f t="shared" ref="AY20" si="3">IFERROR(IF(OR(C20="",L20="",Q20="",T20="",Y20="",AB20="",AE20=""),"",ROUND(BR20/AH20,2)),0)</f>
        <v/>
      </c>
      <c r="AZ20" s="835" t="str">
        <f>IFERROR(AH20/N02S03F14/AK20,"")</f>
        <v/>
      </c>
      <c r="BA20" s="815" t="str">
        <f>IF(C20="","",INDEX(CMEMOTOR_N[Unit of Measure],MATCH(C20,CMEMOTOR_N[Proj Desc 1],0)))</f>
        <v/>
      </c>
      <c r="BB20" s="849" t="str">
        <f t="shared" ref="BB20" si="4">IF(AK20&lt;&gt;"","Missing!","")</f>
        <v/>
      </c>
      <c r="BC20" s="849" t="str">
        <f t="shared" ref="BC20" si="5">IF(AK20&lt;&gt;"","Missing!","")</f>
        <v/>
      </c>
      <c r="BD20" s="1065" t="str">
        <f t="shared" si="0"/>
        <v/>
      </c>
      <c r="BE20" s="837" t="str">
        <f t="shared" ref="BE20" si="6">IF(OR(C20="",L20="",Q20="",T20="",Y20="",AB20="",AE20=""),"",ROUND(Y20,0))</f>
        <v/>
      </c>
      <c r="BF20" s="843" t="str">
        <f>IF(C20="","",IF(INDEX(CMEMOTOR_N[EUL],MATCH(C20,CMEMOTOR_N[Proj Desc 1],0))="","",INDEX(CMEMOTOR_N[EUL],MATCH(C20,CMEMOTOR_N[Proj Desc 1],0))))</f>
        <v/>
      </c>
      <c r="BG20" s="845" t="str">
        <f>IF(C20="","",IF(INDEX(CMEMOTOR_N[End Use Category],MATCH(C20,CMEMOTOR_N[Proj Desc 1],0))="","",INDEX(CMEMOTOR_N[End Use Category],MATCH(C20,CMEMOTOR_N[Proj Desc 1],0))))</f>
        <v/>
      </c>
      <c r="BH20" s="837" t="str">
        <f>IFERROR(IF(OR(C20="",L20="",Q20="",T20="",Y20="",AB20="",AE20=""),"",ROUND(AK20*INDEX(ENDUSEALL[Factor],MATCH(BG20,ENDUSEALL[End Use to Coincident Peak Demand Factors],0)),4)),"")</f>
        <v/>
      </c>
      <c r="BI20" s="874"/>
      <c r="BJ20" s="787" t="str">
        <f>IFERROR(ROUND(AK20*BK20,2),"")</f>
        <v/>
      </c>
      <c r="BK20" s="1067" t="str">
        <f>_xlfn.LET(_xlpm.ROWS,MATCH(BG20,ENDUSEALL[End Use to Coincident Peak Demand Factors],0),IFERROR(INDEX(IF(AND(ACTIVEBONUS_N = TRUE,INDEX(ENDUSEALL[Bonus Rate ($/kWh)],_xlpm.ROWS)&lt;&gt;""),ENDUSEALL[Bonus Rate ($/kWh)],ENDUSEALL[Rate ($/kWh)]),_xlpm.ROWS),""))</f>
        <v/>
      </c>
      <c r="BL20" s="829"/>
      <c r="BM20" s="829"/>
      <c r="BN20" s="1068" t="str">
        <f>_xlfn.LET(_xlpm.BONUS_RATE,INDEX(ENDUSEALL[Bonus Rate ($/kWh)],MATCH(BG20,ENDUSEALL[End Use to Coincident Peak Demand Factors],0)),_xlpm.BASE_RATE,INDEX(ENDUSEALL[Rate ($/kWh)],MATCH(BG20,ENDUSEALL[End Use to Coincident Peak Demand Factors],0)),IFERROR(IF(OR(ACTIVEBONUS_N &lt;&gt; TRUE,ISNUMBER(AN20) = FALSE,BS20 &lt;&gt; ""),"",AN20-(AK20*_xlpm.BASE_RATE)),""))</f>
        <v/>
      </c>
      <c r="BO20" s="1070" t="str">
        <f>IF(OR(C20="",L20="",Q20="",T20="",Y20="",AB20="",AE20=""),"",IF(BQ20&lt;&gt;"",SPILLOVERNUMBER,INDEX(CMEMOTOR_N[Measure Number],MATCH(C20,CMEMOTOR_N[Proj Desc 1],0))))</f>
        <v/>
      </c>
      <c r="BP20" s="815" t="str">
        <f>IFERROR(
IF(BS20="",
IF(AND(ROUND(AN20/AH20,2)=INCCOSTCAP,BJ20/AH20&gt;INCCOSTCAP),
"100% Incremental Cost",
IF(BK20&lt;KWHRATEMIN,
"kWh Incentive Rate Min",
IF(BK20&gt;KWHRATEMAX,
"kWh Incentive Rate Cap",
IF(AN20=BN20,
"Bonus Incentive",
"kWh Incentive"
)))),""),
"")</f>
        <v/>
      </c>
      <c r="BQ20" s="815" t="str">
        <f ca="1">IFERROR(IF(EXPIRATION&lt;&gt;"",PROJSTATEXP,
IF(BS20&gt;0,"",
IF(BD20-BE20&lt;=0,MEASURESAVE,
IF(OR(N02S03F14="",N02S03F14="Select Rate Code",N02S03F14=0),MEASURERATE,
IF(AND(ISNUMBER(SEARCH("Others",C20)),OR(BF20="",BG20="")),MEASURESUBMIT,
IF(AH20&lt;=0,MEASUREINCR,
IF(PAYPROJ_N&lt;PAYBACKREQ,PROJECTSTATPAYBACK,
IF(CBPROJ_N&lt;CBREQ,PROJECTSTATCB,"")))))))),MEASURESUBMIT)</f>
        <v>Submit for Review</v>
      </c>
      <c r="BR20" s="787" t="str">
        <f>IFERROR(IF(OR(C20="",L20="",Q20="",T20="",Y20="",AB20="",AE20=""),"",
ROUND(((1+ELOSS)*((AK20*INDEX(ELECCB[NPV AEC $/kWh],MATCH(BF20,ELECCB[Year Number],1)))+(BH20*INDEX(ELECCB[NPV ACC $/kW],MATCH(BF20,ELECCB[Year Number],1))))),2)),0)</f>
        <v/>
      </c>
      <c r="BS20" s="853"/>
    </row>
    <row r="21" spans="1:71" ht="15.95" customHeight="1">
      <c r="B21" s="800"/>
      <c r="C21" s="1091"/>
      <c r="D21" s="1092"/>
      <c r="E21" s="1092"/>
      <c r="F21" s="1092"/>
      <c r="G21" s="1092"/>
      <c r="H21" s="1092"/>
      <c r="I21" s="1092"/>
      <c r="J21" s="1092"/>
      <c r="K21" s="1092"/>
      <c r="L21" s="1081"/>
      <c r="M21" s="1081"/>
      <c r="N21" s="1081"/>
      <c r="O21" s="1081"/>
      <c r="P21" s="1119"/>
      <c r="Q21" s="1117"/>
      <c r="R21" s="1078"/>
      <c r="S21" s="1078"/>
      <c r="T21" s="1081"/>
      <c r="U21" s="1081"/>
      <c r="V21" s="1081"/>
      <c r="W21" s="1081"/>
      <c r="X21" s="1119"/>
      <c r="Y21" s="1117"/>
      <c r="Z21" s="1078"/>
      <c r="AA21" s="1078"/>
      <c r="AB21" s="1093"/>
      <c r="AC21" s="1093"/>
      <c r="AD21" s="1094"/>
      <c r="AE21" s="1095"/>
      <c r="AF21" s="1096"/>
      <c r="AG21" s="1096"/>
      <c r="AH21" s="1105"/>
      <c r="AI21" s="1105"/>
      <c r="AJ21" s="1106"/>
      <c r="AK21" s="832"/>
      <c r="AL21" s="832"/>
      <c r="AM21" s="832"/>
      <c r="AN21" s="1100"/>
      <c r="AO21" s="1101"/>
      <c r="AP21" s="1101"/>
      <c r="AQ21" s="1102"/>
      <c r="AY21" s="836"/>
      <c r="AZ21" s="836"/>
      <c r="BA21" s="816"/>
      <c r="BB21" s="850"/>
      <c r="BC21" s="850"/>
      <c r="BD21" s="837"/>
      <c r="BE21" s="838"/>
      <c r="BF21" s="844"/>
      <c r="BG21" s="846"/>
      <c r="BH21" s="838"/>
      <c r="BI21" s="875"/>
      <c r="BJ21" s="788"/>
      <c r="BK21" s="787"/>
      <c r="BL21" s="830"/>
      <c r="BM21" s="830"/>
      <c r="BN21" s="1069"/>
      <c r="BO21" s="1071"/>
      <c r="BP21" s="816"/>
      <c r="BQ21" s="816"/>
      <c r="BR21" s="788"/>
      <c r="BS21" s="854"/>
    </row>
    <row r="22" spans="1:71" s="21" customFormat="1" ht="15.95" customHeight="1">
      <c r="A22" s="111"/>
      <c r="B22" s="800">
        <v>3</v>
      </c>
      <c r="C22" s="1091"/>
      <c r="D22" s="1092"/>
      <c r="E22" s="1092"/>
      <c r="F22" s="1092"/>
      <c r="G22" s="1092"/>
      <c r="H22" s="1092"/>
      <c r="I22" s="1092"/>
      <c r="J22" s="1092"/>
      <c r="K22" s="1092"/>
      <c r="L22" s="1083"/>
      <c r="M22" s="1083"/>
      <c r="N22" s="1083"/>
      <c r="O22" s="1083"/>
      <c r="P22" s="1121"/>
      <c r="Q22" s="1120"/>
      <c r="R22" s="1086"/>
      <c r="S22" s="1086"/>
      <c r="T22" s="1083"/>
      <c r="U22" s="1083"/>
      <c r="V22" s="1083"/>
      <c r="W22" s="1083"/>
      <c r="X22" s="1121"/>
      <c r="Y22" s="1120"/>
      <c r="Z22" s="1086"/>
      <c r="AA22" s="1086"/>
      <c r="AB22" s="1093"/>
      <c r="AC22" s="1093"/>
      <c r="AD22" s="1094"/>
      <c r="AE22" s="1095"/>
      <c r="AF22" s="1096"/>
      <c r="AG22" s="1096"/>
      <c r="AH22" s="1103" t="str">
        <f t="shared" ref="AH22" si="7">IF(OR(C22="",L22="",Q22="",T22="",Y22="",AB22="",AE22=""),"",ROUND(AE22-AB22,2))</f>
        <v/>
      </c>
      <c r="AI22" s="1103"/>
      <c r="AJ22" s="1104"/>
      <c r="AK22" s="831" t="str">
        <f t="shared" ref="AK22" si="8">IF(OR(C22="",L22="",Q22="",T22="",Y22="",AB22="",AE22=""),"",IF(BD22-BE22&lt;=0,0,ROUND(BD22-BE22,0)))</f>
        <v/>
      </c>
      <c r="AL22" s="831"/>
      <c r="AM22" s="831"/>
      <c r="AN22" s="1097" t="str">
        <f>IF(OR(C22="",L22="",Q22="",T22="",Y22="",AB22="",AE22=""),"",
IF(BQ22&lt;&gt;"",BQ22,IF(BS22&gt;0,BS22,
IF(ACTIVEBLOCK_N="Yes",ROUND(MIN(AH22*INCCOSTCAP,AK22*BLOCKBIDRATE),2),
ROUND(MIN(AH22*INCCOSTCAP,BJ22),2))
)))</f>
        <v/>
      </c>
      <c r="AO22" s="1098"/>
      <c r="AP22" s="1098"/>
      <c r="AQ22" s="1099"/>
      <c r="AR22"/>
      <c r="AS22"/>
      <c r="AT22"/>
      <c r="AU22"/>
      <c r="AV22"/>
      <c r="AW22"/>
      <c r="AX22"/>
      <c r="AY22" s="835" t="str">
        <f t="shared" ref="AY22" si="9">IFERROR(IF(OR(C22="",L22="",Q22="",T22="",Y22="",AB22="",AE22=""),"",ROUND(BR22/AH22,2)),0)</f>
        <v/>
      </c>
      <c r="AZ22" s="835" t="str">
        <f>IFERROR(AH22/N02S03F14/AK22,"")</f>
        <v/>
      </c>
      <c r="BA22" s="815" t="str">
        <f>IF(C22="","",INDEX(CMEMOTOR_N[Unit of Measure],MATCH(C22,CMEMOTOR_N[Proj Desc 1],0)))</f>
        <v/>
      </c>
      <c r="BB22" s="849" t="str">
        <f t="shared" ref="BB22" si="10">IF(AK22&lt;&gt;"","Missing!","")</f>
        <v/>
      </c>
      <c r="BC22" s="849" t="str">
        <f t="shared" ref="BC22" si="11">IF(AK22&lt;&gt;"","Missing!","")</f>
        <v/>
      </c>
      <c r="BD22" s="1065" t="str">
        <f t="shared" ref="BD22" si="12">IF(OR(C22="",L22="",Q22="",T22="",Y22="",AB22="",AE22=""),"",ROUND(Q22,0))</f>
        <v/>
      </c>
      <c r="BE22" s="837" t="str">
        <f t="shared" ref="BE22" si="13">IF(OR(C22="",L22="",Q22="",T22="",Y22="",AB22="",AE22=""),"",ROUND(Y22,0))</f>
        <v/>
      </c>
      <c r="BF22" s="843" t="str">
        <f>IF(C22="","",IF(INDEX(CMEMOTOR_N[EUL],MATCH(C22,CMEMOTOR_N[Proj Desc 1],0))="","",INDEX(CMEMOTOR_N[EUL],MATCH(C22,CMEMOTOR_N[Proj Desc 1],0))))</f>
        <v/>
      </c>
      <c r="BG22" s="845" t="str">
        <f>IF(C22="","",IF(INDEX(CMEMOTOR_N[End Use Category],MATCH(C22,CMEMOTOR_N[Proj Desc 1],0))="","",INDEX(CMEMOTOR_N[End Use Category],MATCH(C22,CMEMOTOR_N[Proj Desc 1],0))))</f>
        <v/>
      </c>
      <c r="BH22" s="837" t="str">
        <f>IFERROR(IF(OR(C22="",L22="",Q22="",T22="",Y22="",AB22="",AE22=""),"",ROUND(AK22*INDEX(ENDUSEALL[Factor],MATCH(BG22,ENDUSEALL[End Use to Coincident Peak Demand Factors],0)),4)),"")</f>
        <v/>
      </c>
      <c r="BI22" s="874"/>
      <c r="BJ22" s="787" t="str">
        <f>IFERROR(ROUND(AK22*BK22,2),"")</f>
        <v/>
      </c>
      <c r="BK22" s="1067" t="str">
        <f>_xlfn.LET(_xlpm.ROWS,MATCH(BG22,ENDUSEALL[End Use to Coincident Peak Demand Factors],0),IFERROR(INDEX(IF(AND(ACTIVEBONUS_N = TRUE,INDEX(ENDUSEALL[Bonus Rate ($/kWh)],_xlpm.ROWS)&lt;&gt;""),ENDUSEALL[Bonus Rate ($/kWh)],ENDUSEALL[Rate ($/kWh)]),_xlpm.ROWS),""))</f>
        <v/>
      </c>
      <c r="BL22" s="829"/>
      <c r="BM22" s="829"/>
      <c r="BN22" s="1068" t="str">
        <f>_xlfn.LET(_xlpm.BONUS_RATE,INDEX(ENDUSEALL[Bonus Rate ($/kWh)],MATCH(BG22,ENDUSEALL[End Use to Coincident Peak Demand Factors],0)),_xlpm.BASE_RATE,INDEX(ENDUSEALL[Rate ($/kWh)],MATCH(BG22,ENDUSEALL[End Use to Coincident Peak Demand Factors],0)),IFERROR(IF(OR(ACTIVEBONUS_N &lt;&gt; TRUE,ISNUMBER(AN22) = FALSE,BS22 &lt;&gt; ""),"",AN22-(AK22*_xlpm.BASE_RATE)),""))</f>
        <v/>
      </c>
      <c r="BO22" s="1070" t="str">
        <f>IF(OR(C22="",L22="",Q22="",T22="",Y22="",AB22="",AE22=""),"",IF(BQ22&lt;&gt;"",SPILLOVERNUMBER,INDEX(CMEMOTOR_N[Measure Number],MATCH(C22,CMEMOTOR_N[Proj Desc 1],0))))</f>
        <v/>
      </c>
      <c r="BP22" s="815" t="str">
        <f>IFERROR(
IF(BS22="",
IF(AND(ROUND(AN22/AH22,2)=INCCOSTCAP,BJ22/AH22&gt;INCCOSTCAP),
"100% Incremental Cost",
IF(BK22&lt;KWHRATEMIN,
"kWh Incentive Rate Min",
IF(BK22&gt;KWHRATEMAX,
"kWh Incentive Rate Cap",
IF(AN22=BN22,
"Bonus Incentive",
"kWh Incentive"
)))),""),
"")</f>
        <v/>
      </c>
      <c r="BQ22" s="815" t="str">
        <f ca="1">IFERROR(IF(EXPIRATION&lt;&gt;"",PROJSTATEXP,
IF(BS22&gt;0,"",
IF(BD22-BE22&lt;=0,MEASURESAVE,
IF(OR(N02S03F14="",N02S03F14="Select Rate Code",N02S03F14=0),MEASURERATE,
IF(AND(ISNUMBER(SEARCH("Others",C22)),OR(BF22="",BG22="")),MEASURESUBMIT,
IF(AH22&lt;=0,MEASUREINCR,
IF(PAYPROJ_N&lt;PAYBACKREQ,PROJECTSTATPAYBACK,
IF(CBPROJ_N&lt;CBREQ,PROJECTSTATCB,"")))))))),MEASURESUBMIT)</f>
        <v>Submit for Review</v>
      </c>
      <c r="BR22" s="787" t="str">
        <f>IFERROR(IF(OR(C22="",L22="",Q22="",T22="",Y22="",AB22="",AE22=""),"",
ROUND(((1+ELOSS)*((AK22*INDEX(ELECCB[NPV AEC $/kWh],MATCH(BF22,ELECCB[Year Number],1)))+(BH22*INDEX(ELECCB[NPV ACC $/kW],MATCH(BF22,ELECCB[Year Number],1))))),2)),0)</f>
        <v/>
      </c>
      <c r="BS22" s="853"/>
    </row>
    <row r="23" spans="1:71" s="21" customFormat="1" ht="15.95" customHeight="1">
      <c r="A23" s="111"/>
      <c r="B23" s="800"/>
      <c r="C23" s="1091"/>
      <c r="D23" s="1092"/>
      <c r="E23" s="1092"/>
      <c r="F23" s="1092"/>
      <c r="G23" s="1092"/>
      <c r="H23" s="1092"/>
      <c r="I23" s="1092"/>
      <c r="J23" s="1092"/>
      <c r="K23" s="1092"/>
      <c r="L23" s="1081"/>
      <c r="M23" s="1081"/>
      <c r="N23" s="1081"/>
      <c r="O23" s="1081"/>
      <c r="P23" s="1119"/>
      <c r="Q23" s="1117"/>
      <c r="R23" s="1078"/>
      <c r="S23" s="1078"/>
      <c r="T23" s="1081"/>
      <c r="U23" s="1081"/>
      <c r="V23" s="1081"/>
      <c r="W23" s="1081"/>
      <c r="X23" s="1119"/>
      <c r="Y23" s="1117"/>
      <c r="Z23" s="1078"/>
      <c r="AA23" s="1078"/>
      <c r="AB23" s="1093"/>
      <c r="AC23" s="1093"/>
      <c r="AD23" s="1094"/>
      <c r="AE23" s="1095"/>
      <c r="AF23" s="1096"/>
      <c r="AG23" s="1096"/>
      <c r="AH23" s="1105"/>
      <c r="AI23" s="1105"/>
      <c r="AJ23" s="1106"/>
      <c r="AK23" s="832"/>
      <c r="AL23" s="832"/>
      <c r="AM23" s="832"/>
      <c r="AN23" s="1100"/>
      <c r="AO23" s="1101"/>
      <c r="AP23" s="1101"/>
      <c r="AQ23" s="1102"/>
      <c r="AR23"/>
      <c r="AS23"/>
      <c r="AT23"/>
      <c r="AU23"/>
      <c r="AV23"/>
      <c r="AW23"/>
      <c r="AX23"/>
      <c r="AY23" s="836"/>
      <c r="AZ23" s="836"/>
      <c r="BA23" s="816"/>
      <c r="BB23" s="850"/>
      <c r="BC23" s="850"/>
      <c r="BD23" s="837"/>
      <c r="BE23" s="838"/>
      <c r="BF23" s="844"/>
      <c r="BG23" s="846"/>
      <c r="BH23" s="838"/>
      <c r="BI23" s="875"/>
      <c r="BJ23" s="788"/>
      <c r="BK23" s="787"/>
      <c r="BL23" s="830"/>
      <c r="BM23" s="830"/>
      <c r="BN23" s="1069"/>
      <c r="BO23" s="1071"/>
      <c r="BP23" s="816"/>
      <c r="BQ23" s="816"/>
      <c r="BR23" s="788"/>
      <c r="BS23" s="854"/>
    </row>
    <row r="24" spans="1:71" ht="15.95" customHeight="1">
      <c r="B24" s="800">
        <v>4</v>
      </c>
      <c r="C24" s="1091"/>
      <c r="D24" s="1092"/>
      <c r="E24" s="1092"/>
      <c r="F24" s="1092"/>
      <c r="G24" s="1092"/>
      <c r="H24" s="1092"/>
      <c r="I24" s="1092"/>
      <c r="J24" s="1092"/>
      <c r="K24" s="1092"/>
      <c r="L24" s="1083"/>
      <c r="M24" s="1083"/>
      <c r="N24" s="1083"/>
      <c r="O24" s="1083"/>
      <c r="P24" s="1121"/>
      <c r="Q24" s="1120"/>
      <c r="R24" s="1086"/>
      <c r="S24" s="1086"/>
      <c r="T24" s="1083"/>
      <c r="U24" s="1083"/>
      <c r="V24" s="1083"/>
      <c r="W24" s="1083"/>
      <c r="X24" s="1121"/>
      <c r="Y24" s="1120"/>
      <c r="Z24" s="1086"/>
      <c r="AA24" s="1086"/>
      <c r="AB24" s="1093"/>
      <c r="AC24" s="1093"/>
      <c r="AD24" s="1094"/>
      <c r="AE24" s="1095"/>
      <c r="AF24" s="1096"/>
      <c r="AG24" s="1096"/>
      <c r="AH24" s="1103" t="str">
        <f t="shared" ref="AH24" si="14">IF(OR(C24="",L24="",Q24="",T24="",Y24="",AB24="",AE24=""),"",ROUND(AE24-AB24,2))</f>
        <v/>
      </c>
      <c r="AI24" s="1103"/>
      <c r="AJ24" s="1104"/>
      <c r="AK24" s="831" t="str">
        <f t="shared" ref="AK24" si="15">IF(OR(C24="",L24="",Q24="",T24="",Y24="",AB24="",AE24=""),"",IF(BD24-BE24&lt;=0,0,ROUND(BD24-BE24,0)))</f>
        <v/>
      </c>
      <c r="AL24" s="831"/>
      <c r="AM24" s="831"/>
      <c r="AN24" s="1097" t="str">
        <f>IF(OR(C24="",L24="",Q24="",T24="",Y24="",AB24="",AE24=""),"",
IF(BQ24&lt;&gt;"",BQ24,IF(BS24&gt;0,BS24,
IF(ACTIVEBLOCK_N="Yes",ROUND(MIN(AH24*INCCOSTCAP,AK24*BLOCKBIDRATE),2),
ROUND(MIN(AH24*INCCOSTCAP,BJ24),2))
)))</f>
        <v/>
      </c>
      <c r="AO24" s="1098"/>
      <c r="AP24" s="1098"/>
      <c r="AQ24" s="1099"/>
      <c r="AY24" s="835" t="str">
        <f t="shared" ref="AY24" si="16">IFERROR(IF(OR(C24="",L24="",Q24="",T24="",Y24="",AB24="",AE24=""),"",ROUND(BR24/AH24,2)),0)</f>
        <v/>
      </c>
      <c r="AZ24" s="835" t="str">
        <f>IFERROR(AH24/N02S03F14/AK24,"")</f>
        <v/>
      </c>
      <c r="BA24" s="815" t="str">
        <f>IF(C24="","",INDEX(CMEMOTOR_N[Unit of Measure],MATCH(C24,CMEMOTOR_N[Proj Desc 1],0)))</f>
        <v/>
      </c>
      <c r="BB24" s="849" t="str">
        <f t="shared" ref="BB24" si="17">IF(AK24&lt;&gt;"","Missing!","")</f>
        <v/>
      </c>
      <c r="BC24" s="849" t="str">
        <f t="shared" ref="BC24" si="18">IF(AK24&lt;&gt;"","Missing!","")</f>
        <v/>
      </c>
      <c r="BD24" s="1065" t="str">
        <f t="shared" ref="BD24:BD36" si="19">IF(OR(C24="",L24="",Q24="",T24="",Y24="",AB24="",AE24=""),"",ROUND(Q24,0))</f>
        <v/>
      </c>
      <c r="BE24" s="837" t="str">
        <f t="shared" ref="BE24" si="20">IF(OR(C24="",L24="",Q24="",T24="",Y24="",AB24="",AE24=""),"",ROUND(Y24,0))</f>
        <v/>
      </c>
      <c r="BF24" s="843" t="str">
        <f>IF(C24="","",IF(INDEX(CMEMOTOR_N[EUL],MATCH(C24,CMEMOTOR_N[Proj Desc 1],0))="","",INDEX(CMEMOTOR_N[EUL],MATCH(C24,CMEMOTOR_N[Proj Desc 1],0))))</f>
        <v/>
      </c>
      <c r="BG24" s="845" t="str">
        <f>IF(C24="","",IF(INDEX(CMEMOTOR_N[End Use Category],MATCH(C24,CMEMOTOR_N[Proj Desc 1],0))="","",INDEX(CMEMOTOR_N[End Use Category],MATCH(C24,CMEMOTOR_N[Proj Desc 1],0))))</f>
        <v/>
      </c>
      <c r="BH24" s="837" t="str">
        <f>IFERROR(IF(OR(C24="",L24="",Q24="",T24="",Y24="",AB24="",AE24=""),"",ROUND(AK24*INDEX(ENDUSEALL[Factor],MATCH(BG24,ENDUSEALL[End Use to Coincident Peak Demand Factors],0)),4)),"")</f>
        <v/>
      </c>
      <c r="BI24" s="874"/>
      <c r="BJ24" s="787" t="str">
        <f>IFERROR(ROUND(AK24*BK24,2),"")</f>
        <v/>
      </c>
      <c r="BK24" s="1067" t="str">
        <f>_xlfn.LET(_xlpm.ROWS,MATCH(BG24,ENDUSEALL[End Use to Coincident Peak Demand Factors],0),IFERROR(INDEX(IF(AND(ACTIVEBONUS_N = TRUE,INDEX(ENDUSEALL[Bonus Rate ($/kWh)],_xlpm.ROWS)&lt;&gt;""),ENDUSEALL[Bonus Rate ($/kWh)],ENDUSEALL[Rate ($/kWh)]),_xlpm.ROWS),""))</f>
        <v/>
      </c>
      <c r="BL24" s="829"/>
      <c r="BM24" s="829"/>
      <c r="BN24" s="1068" t="str">
        <f>_xlfn.LET(_xlpm.BONUS_RATE,INDEX(ENDUSEALL[Bonus Rate ($/kWh)],MATCH(BG24,ENDUSEALL[End Use to Coincident Peak Demand Factors],0)),_xlpm.BASE_RATE,INDEX(ENDUSEALL[Rate ($/kWh)],MATCH(BG24,ENDUSEALL[End Use to Coincident Peak Demand Factors],0)),IFERROR(IF(OR(ACTIVEBONUS_N &lt;&gt; TRUE,ISNUMBER(AN24) = FALSE,BS24 &lt;&gt; ""),"",AN24-(AK24*_xlpm.BASE_RATE)),""))</f>
        <v/>
      </c>
      <c r="BO24" s="1070" t="str">
        <f>IF(OR(C24="",L24="",Q24="",T24="",Y24="",AB24="",AE24=""),"",IF(BQ24&lt;&gt;"",SPILLOVERNUMBER,INDEX(CMEMOTOR_N[Measure Number],MATCH(C24,CMEMOTOR_N[Proj Desc 1],0))))</f>
        <v/>
      </c>
      <c r="BP24" s="815" t="str">
        <f>IFERROR(
IF(BS24="",
IF(AND(ROUND(AN24/AH24,2)=INCCOSTCAP,BJ24/AH24&gt;INCCOSTCAP),
"100% Incremental Cost",
IF(BK24&lt;KWHRATEMIN,
"kWh Incentive Rate Min",
IF(BK24&gt;KWHRATEMAX,
"kWh Incentive Rate Cap",
IF(AN24=BN24,
"Bonus Incentive",
"kWh Incentive"
)))),""),
"")</f>
        <v/>
      </c>
      <c r="BQ24" s="815" t="str">
        <f ca="1">IFERROR(IF(EXPIRATION&lt;&gt;"",PROJSTATEXP,
IF(BS24&gt;0,"",
IF(BD24-BE24&lt;=0,MEASURESAVE,
IF(OR(N02S03F14="",N02S03F14="Select Rate Code",N02S03F14=0),MEASURERATE,
IF(AND(ISNUMBER(SEARCH("Others",C24)),OR(BF24="",BG24="")),MEASURESUBMIT,
IF(AH24&lt;=0,MEASUREINCR,
IF(PAYPROJ_N&lt;PAYBACKREQ,PROJECTSTATPAYBACK,
IF(CBPROJ_N&lt;CBREQ,PROJECTSTATCB,"")))))))),MEASURESUBMIT)</f>
        <v>Submit for Review</v>
      </c>
      <c r="BR24" s="787" t="str">
        <f>IFERROR(IF(OR(C24="",L24="",Q24="",T24="",Y24="",AB24="",AE24=""),"",
ROUND(((1+ELOSS)*((AK24*INDEX(ELECCB[NPV AEC $/kWh],MATCH(BF24,ELECCB[Year Number],1)))+(BH24*INDEX(ELECCB[NPV ACC $/kW],MATCH(BF24,ELECCB[Year Number],1))))),2)),0)</f>
        <v/>
      </c>
      <c r="BS24" s="853"/>
    </row>
    <row r="25" spans="1:71" ht="15.95" customHeight="1">
      <c r="A25" s="76"/>
      <c r="B25" s="800"/>
      <c r="C25" s="1091"/>
      <c r="D25" s="1092"/>
      <c r="E25" s="1092"/>
      <c r="F25" s="1092"/>
      <c r="G25" s="1092"/>
      <c r="H25" s="1092"/>
      <c r="I25" s="1092"/>
      <c r="J25" s="1092"/>
      <c r="K25" s="1092"/>
      <c r="L25" s="1081"/>
      <c r="M25" s="1081"/>
      <c r="N25" s="1081"/>
      <c r="O25" s="1081"/>
      <c r="P25" s="1119"/>
      <c r="Q25" s="1117"/>
      <c r="R25" s="1078"/>
      <c r="S25" s="1078"/>
      <c r="T25" s="1081"/>
      <c r="U25" s="1081"/>
      <c r="V25" s="1081"/>
      <c r="W25" s="1081"/>
      <c r="X25" s="1119"/>
      <c r="Y25" s="1117"/>
      <c r="Z25" s="1078"/>
      <c r="AA25" s="1078"/>
      <c r="AB25" s="1093"/>
      <c r="AC25" s="1093"/>
      <c r="AD25" s="1094"/>
      <c r="AE25" s="1095"/>
      <c r="AF25" s="1096"/>
      <c r="AG25" s="1096"/>
      <c r="AH25" s="1105"/>
      <c r="AI25" s="1105"/>
      <c r="AJ25" s="1106"/>
      <c r="AK25" s="832"/>
      <c r="AL25" s="832"/>
      <c r="AM25" s="832"/>
      <c r="AN25" s="1100"/>
      <c r="AO25" s="1101"/>
      <c r="AP25" s="1101"/>
      <c r="AQ25" s="1102"/>
      <c r="AY25" s="836"/>
      <c r="AZ25" s="836"/>
      <c r="BA25" s="816"/>
      <c r="BB25" s="850"/>
      <c r="BC25" s="850"/>
      <c r="BD25" s="837"/>
      <c r="BE25" s="838"/>
      <c r="BF25" s="844"/>
      <c r="BG25" s="846"/>
      <c r="BH25" s="838"/>
      <c r="BI25" s="875"/>
      <c r="BJ25" s="788"/>
      <c r="BK25" s="787"/>
      <c r="BL25" s="830"/>
      <c r="BM25" s="830"/>
      <c r="BN25" s="1069"/>
      <c r="BO25" s="1071"/>
      <c r="BP25" s="816"/>
      <c r="BQ25" s="816"/>
      <c r="BR25" s="788"/>
      <c r="BS25" s="854"/>
    </row>
    <row r="26" spans="1:71" ht="15.95" customHeight="1">
      <c r="B26" s="800">
        <v>5</v>
      </c>
      <c r="C26" s="1091"/>
      <c r="D26" s="1092"/>
      <c r="E26" s="1092"/>
      <c r="F26" s="1092"/>
      <c r="G26" s="1092"/>
      <c r="H26" s="1092"/>
      <c r="I26" s="1092"/>
      <c r="J26" s="1092"/>
      <c r="K26" s="1092"/>
      <c r="L26" s="1083"/>
      <c r="M26" s="1083"/>
      <c r="N26" s="1083"/>
      <c r="O26" s="1083"/>
      <c r="P26" s="1121"/>
      <c r="Q26" s="1120"/>
      <c r="R26" s="1086"/>
      <c r="S26" s="1086"/>
      <c r="T26" s="1083"/>
      <c r="U26" s="1083"/>
      <c r="V26" s="1083"/>
      <c r="W26" s="1083"/>
      <c r="X26" s="1121"/>
      <c r="Y26" s="1120"/>
      <c r="Z26" s="1086"/>
      <c r="AA26" s="1086"/>
      <c r="AB26" s="1093"/>
      <c r="AC26" s="1093"/>
      <c r="AD26" s="1094"/>
      <c r="AE26" s="1095"/>
      <c r="AF26" s="1096"/>
      <c r="AG26" s="1096"/>
      <c r="AH26" s="1103" t="str">
        <f t="shared" ref="AH26" si="21">IF(OR(C26="",L26="",Q26="",T26="",Y26="",AB26="",AE26=""),"",ROUND(AE26-AB26,2))</f>
        <v/>
      </c>
      <c r="AI26" s="1103"/>
      <c r="AJ26" s="1104"/>
      <c r="AK26" s="831" t="str">
        <f t="shared" ref="AK26" si="22">IF(OR(C26="",L26="",Q26="",T26="",Y26="",AB26="",AE26=""),"",IF(BD26-BE26&lt;=0,0,ROUND(BD26-BE26,0)))</f>
        <v/>
      </c>
      <c r="AL26" s="831"/>
      <c r="AM26" s="831"/>
      <c r="AN26" s="1097" t="str">
        <f>IF(OR(C26="",L26="",Q26="",T26="",Y26="",AB26="",AE26=""),"",
IF(BQ26&lt;&gt;"",BQ26,IF(BS26&gt;0,BS26,
IF(ACTIVEBLOCK_N="Yes",ROUND(MIN(AH26*INCCOSTCAP,AK26*BLOCKBIDRATE),2),
ROUND(MIN(AH26*INCCOSTCAP,BJ26),2))
)))</f>
        <v/>
      </c>
      <c r="AO26" s="1098"/>
      <c r="AP26" s="1098"/>
      <c r="AQ26" s="1099"/>
      <c r="AY26" s="835" t="str">
        <f t="shared" ref="AY26" si="23">IFERROR(IF(OR(C26="",L26="",Q26="",T26="",Y26="",AB26="",AE26=""),"",ROUND(BR26/AH26,2)),0)</f>
        <v/>
      </c>
      <c r="AZ26" s="835" t="str">
        <f>IFERROR(AH26/N02S03F14/AK26,"")</f>
        <v/>
      </c>
      <c r="BA26" s="815" t="str">
        <f>IF(C26="","",INDEX(CMEMOTOR_N[Unit of Measure],MATCH(C26,CMEMOTOR_N[Proj Desc 1],0)))</f>
        <v/>
      </c>
      <c r="BB26" s="849" t="str">
        <f t="shared" ref="BB26" si="24">IF(AK26&lt;&gt;"","Missing!","")</f>
        <v/>
      </c>
      <c r="BC26" s="849" t="str">
        <f t="shared" ref="BC26" si="25">IF(AK26&lt;&gt;"","Missing!","")</f>
        <v/>
      </c>
      <c r="BD26" s="1065" t="str">
        <f t="shared" si="19"/>
        <v/>
      </c>
      <c r="BE26" s="837" t="str">
        <f t="shared" ref="BE26" si="26">IF(OR(C26="",L26="",Q26="",T26="",Y26="",AB26="",AE26=""),"",ROUND(Y26,0))</f>
        <v/>
      </c>
      <c r="BF26" s="843" t="str">
        <f>IF(C26="","",IF(INDEX(CMEMOTOR_N[EUL],MATCH(C26,CMEMOTOR_N[Proj Desc 1],0))="","",INDEX(CMEMOTOR_N[EUL],MATCH(C26,CMEMOTOR_N[Proj Desc 1],0))))</f>
        <v/>
      </c>
      <c r="BG26" s="845" t="str">
        <f>IF(C26="","",IF(INDEX(CMEMOTOR_N[End Use Category],MATCH(C26,CMEMOTOR_N[Proj Desc 1],0))="","",INDEX(CMEMOTOR_N[End Use Category],MATCH(C26,CMEMOTOR_N[Proj Desc 1],0))))</f>
        <v/>
      </c>
      <c r="BH26" s="837" t="str">
        <f>IFERROR(IF(OR(C26="",L26="",Q26="",T26="",Y26="",AB26="",AE26=""),"",ROUND(AK26*INDEX(ENDUSEALL[Factor],MATCH(BG26,ENDUSEALL[End Use to Coincident Peak Demand Factors],0)),4)),"")</f>
        <v/>
      </c>
      <c r="BI26" s="874"/>
      <c r="BJ26" s="787" t="str">
        <f>IFERROR(ROUND(AK26*BK26,2),"")</f>
        <v/>
      </c>
      <c r="BK26" s="1067" t="str">
        <f>_xlfn.LET(_xlpm.ROWS,MATCH(BG26,ENDUSEALL[End Use to Coincident Peak Demand Factors],0),IFERROR(INDEX(IF(AND(ACTIVEBONUS_N = TRUE,INDEX(ENDUSEALL[Bonus Rate ($/kWh)],_xlpm.ROWS)&lt;&gt;""),ENDUSEALL[Bonus Rate ($/kWh)],ENDUSEALL[Rate ($/kWh)]),_xlpm.ROWS),""))</f>
        <v/>
      </c>
      <c r="BL26" s="829"/>
      <c r="BM26" s="829"/>
      <c r="BN26" s="1068" t="str">
        <f>_xlfn.LET(_xlpm.BONUS_RATE,INDEX(ENDUSEALL[Bonus Rate ($/kWh)],MATCH(BG26,ENDUSEALL[End Use to Coincident Peak Demand Factors],0)),_xlpm.BASE_RATE,INDEX(ENDUSEALL[Rate ($/kWh)],MATCH(BG26,ENDUSEALL[End Use to Coincident Peak Demand Factors],0)),IFERROR(IF(OR(ACTIVEBONUS_N &lt;&gt; TRUE,ISNUMBER(AN26) = FALSE,BS26 &lt;&gt; ""),"",AN26-(AK26*_xlpm.BASE_RATE)),""))</f>
        <v/>
      </c>
      <c r="BO26" s="1070" t="str">
        <f>IF(OR(C26="",L26="",Q26="",T26="",Y26="",AB26="",AE26=""),"",IF(BQ26&lt;&gt;"",SPILLOVERNUMBER,INDEX(CMEMOTOR_N[Measure Number],MATCH(C26,CMEMOTOR_N[Proj Desc 1],0))))</f>
        <v/>
      </c>
      <c r="BP26" s="815" t="str">
        <f>IFERROR(
IF(BS26="",
IF(AND(ROUND(AN26/AH26,2)=INCCOSTCAP,BJ26/AH26&gt;INCCOSTCAP),
"100% Incremental Cost",
IF(BK26&lt;KWHRATEMIN,
"kWh Incentive Rate Min",
IF(BK26&gt;KWHRATEMAX,
"kWh Incentive Rate Cap",
IF(AN26=BN26,
"Bonus Incentive",
"kWh Incentive"
)))),""),
"")</f>
        <v/>
      </c>
      <c r="BQ26" s="815" t="str">
        <f ca="1">IFERROR(IF(EXPIRATION&lt;&gt;"",PROJSTATEXP,
IF(BS26&gt;0,"",
IF(BD26-BE26&lt;=0,MEASURESAVE,
IF(OR(N02S03F14="",N02S03F14="Select Rate Code",N02S03F14=0),MEASURERATE,
IF(AND(ISNUMBER(SEARCH("Others",C26)),OR(BF26="",BG26="")),MEASURESUBMIT,
IF(AH26&lt;=0,MEASUREINCR,
IF(PAYPROJ_N&lt;PAYBACKREQ,PROJECTSTATPAYBACK,
IF(CBPROJ_N&lt;CBREQ,PROJECTSTATCB,"")))))))),MEASURESUBMIT)</f>
        <v>Submit for Review</v>
      </c>
      <c r="BR26" s="787" t="str">
        <f>IFERROR(IF(OR(C26="",L26="",Q26="",T26="",Y26="",AB26="",AE26=""),"",
ROUND(((1+ELOSS)*((AK26*INDEX(ELECCB[NPV AEC $/kWh],MATCH(BF26,ELECCB[Year Number],1)))+(BH26*INDEX(ELECCB[NPV ACC $/kW],MATCH(BF26,ELECCB[Year Number],1))))),2)),0)</f>
        <v/>
      </c>
      <c r="BS26" s="853"/>
    </row>
    <row r="27" spans="1:71" ht="15.95" customHeight="1">
      <c r="B27" s="800"/>
      <c r="C27" s="1091"/>
      <c r="D27" s="1092"/>
      <c r="E27" s="1092"/>
      <c r="F27" s="1092"/>
      <c r="G27" s="1092"/>
      <c r="H27" s="1092"/>
      <c r="I27" s="1092"/>
      <c r="J27" s="1092"/>
      <c r="K27" s="1092"/>
      <c r="L27" s="1081"/>
      <c r="M27" s="1081"/>
      <c r="N27" s="1081"/>
      <c r="O27" s="1081"/>
      <c r="P27" s="1119"/>
      <c r="Q27" s="1117"/>
      <c r="R27" s="1078"/>
      <c r="S27" s="1078"/>
      <c r="T27" s="1081"/>
      <c r="U27" s="1081"/>
      <c r="V27" s="1081"/>
      <c r="W27" s="1081"/>
      <c r="X27" s="1119"/>
      <c r="Y27" s="1117"/>
      <c r="Z27" s="1078"/>
      <c r="AA27" s="1078"/>
      <c r="AB27" s="1093"/>
      <c r="AC27" s="1093"/>
      <c r="AD27" s="1094"/>
      <c r="AE27" s="1095"/>
      <c r="AF27" s="1096"/>
      <c r="AG27" s="1096"/>
      <c r="AH27" s="1105"/>
      <c r="AI27" s="1105"/>
      <c r="AJ27" s="1106"/>
      <c r="AK27" s="832"/>
      <c r="AL27" s="832"/>
      <c r="AM27" s="832"/>
      <c r="AN27" s="1100"/>
      <c r="AO27" s="1101"/>
      <c r="AP27" s="1101"/>
      <c r="AQ27" s="1102"/>
      <c r="AY27" s="836"/>
      <c r="AZ27" s="836"/>
      <c r="BA27" s="816"/>
      <c r="BB27" s="850"/>
      <c r="BC27" s="850"/>
      <c r="BD27" s="837"/>
      <c r="BE27" s="838"/>
      <c r="BF27" s="844"/>
      <c r="BG27" s="846"/>
      <c r="BH27" s="838"/>
      <c r="BI27" s="875"/>
      <c r="BJ27" s="788"/>
      <c r="BK27" s="787"/>
      <c r="BL27" s="830"/>
      <c r="BM27" s="830"/>
      <c r="BN27" s="1069"/>
      <c r="BO27" s="1071"/>
      <c r="BP27" s="816"/>
      <c r="BQ27" s="816"/>
      <c r="BR27" s="788"/>
      <c r="BS27" s="854"/>
    </row>
    <row r="28" spans="1:71" ht="15.95" customHeight="1">
      <c r="B28" s="800">
        <v>6</v>
      </c>
      <c r="C28" s="1091"/>
      <c r="D28" s="1092"/>
      <c r="E28" s="1092"/>
      <c r="F28" s="1092"/>
      <c r="G28" s="1092"/>
      <c r="H28" s="1092"/>
      <c r="I28" s="1092"/>
      <c r="J28" s="1092"/>
      <c r="K28" s="1092"/>
      <c r="L28" s="1083"/>
      <c r="M28" s="1083"/>
      <c r="N28" s="1083"/>
      <c r="O28" s="1083"/>
      <c r="P28" s="1121"/>
      <c r="Q28" s="1120"/>
      <c r="R28" s="1086"/>
      <c r="S28" s="1086"/>
      <c r="T28" s="1083"/>
      <c r="U28" s="1083"/>
      <c r="V28" s="1083"/>
      <c r="W28" s="1083"/>
      <c r="X28" s="1121"/>
      <c r="Y28" s="1120"/>
      <c r="Z28" s="1086"/>
      <c r="AA28" s="1086"/>
      <c r="AB28" s="1093"/>
      <c r="AC28" s="1093"/>
      <c r="AD28" s="1094"/>
      <c r="AE28" s="1095"/>
      <c r="AF28" s="1096"/>
      <c r="AG28" s="1096"/>
      <c r="AH28" s="1103" t="str">
        <f t="shared" ref="AH28" si="27">IF(OR(C28="",L28="",Q28="",T28="",Y28="",AB28="",AE28=""),"",ROUND(AE28-AB28,2))</f>
        <v/>
      </c>
      <c r="AI28" s="1103"/>
      <c r="AJ28" s="1104"/>
      <c r="AK28" s="831" t="str">
        <f t="shared" ref="AK28" si="28">IF(OR(C28="",L28="",Q28="",T28="",Y28="",AB28="",AE28=""),"",IF(BD28-BE28&lt;=0,0,ROUND(BD28-BE28,0)))</f>
        <v/>
      </c>
      <c r="AL28" s="831"/>
      <c r="AM28" s="831"/>
      <c r="AN28" s="1097" t="str">
        <f>IF(OR(C28="",L28="",Q28="",T28="",Y28="",AB28="",AE28=""),"",
IF(BQ28&lt;&gt;"",BQ28,IF(BS28&gt;0,BS28,
IF(ACTIVEBLOCK_N="Yes",ROUND(MIN(AH28*INCCOSTCAP,AK28*BLOCKBIDRATE),2),
ROUND(MIN(AH28*INCCOSTCAP,BJ28),2))
)))</f>
        <v/>
      </c>
      <c r="AO28" s="1098"/>
      <c r="AP28" s="1098"/>
      <c r="AQ28" s="1099"/>
      <c r="AY28" s="835" t="str">
        <f t="shared" ref="AY28" si="29">IFERROR(IF(OR(C28="",L28="",Q28="",T28="",Y28="",AB28="",AE28=""),"",ROUND(BR28/AH28,2)),0)</f>
        <v/>
      </c>
      <c r="AZ28" s="835" t="str">
        <f>IFERROR(AH28/N02S03F14/AK28,"")</f>
        <v/>
      </c>
      <c r="BA28" s="815" t="str">
        <f>IF(C28="","",INDEX(CMEMOTOR_N[Unit of Measure],MATCH(C28,CMEMOTOR_N[Proj Desc 1],0)))</f>
        <v/>
      </c>
      <c r="BB28" s="849" t="str">
        <f t="shared" ref="BB28" si="30">IF(AK28&lt;&gt;"","Missing!","")</f>
        <v/>
      </c>
      <c r="BC28" s="849" t="str">
        <f t="shared" ref="BC28" si="31">IF(AK28&lt;&gt;"","Missing!","")</f>
        <v/>
      </c>
      <c r="BD28" s="1065" t="str">
        <f t="shared" ref="BD28:BD34" si="32">IF(OR(C28="",L28="",Q28="",T28="",Y28="",AB28="",AE28=""),"",ROUND(Q28,0))</f>
        <v/>
      </c>
      <c r="BE28" s="837" t="str">
        <f t="shared" ref="BE28" si="33">IF(OR(C28="",L28="",Q28="",T28="",Y28="",AB28="",AE28=""),"",ROUND(Y28,0))</f>
        <v/>
      </c>
      <c r="BF28" s="843" t="str">
        <f>IF(C28="","",IF(INDEX(CMEMOTOR_N[EUL],MATCH(C28,CMEMOTOR_N[Proj Desc 1],0))="","",INDEX(CMEMOTOR_N[EUL],MATCH(C28,CMEMOTOR_N[Proj Desc 1],0))))</f>
        <v/>
      </c>
      <c r="BG28" s="845" t="str">
        <f>IF(C28="","",IF(INDEX(CMEMOTOR_N[End Use Category],MATCH(C28,CMEMOTOR_N[Proj Desc 1],0))="","",INDEX(CMEMOTOR_N[End Use Category],MATCH(C28,CMEMOTOR_N[Proj Desc 1],0))))</f>
        <v/>
      </c>
      <c r="BH28" s="837" t="str">
        <f>IFERROR(IF(OR(C28="",L28="",Q28="",T28="",Y28="",AB28="",AE28=""),"",ROUND(AK28*INDEX(ENDUSEALL[Factor],MATCH(BG28,ENDUSEALL[End Use to Coincident Peak Demand Factors],0)),4)),"")</f>
        <v/>
      </c>
      <c r="BI28" s="874"/>
      <c r="BJ28" s="787" t="str">
        <f>IFERROR(ROUND(AK28*BK28,2),"")</f>
        <v/>
      </c>
      <c r="BK28" s="1067" t="str">
        <f>_xlfn.LET(_xlpm.ROWS,MATCH(BG28,ENDUSEALL[End Use to Coincident Peak Demand Factors],0),IFERROR(INDEX(IF(AND(ACTIVEBONUS_N = TRUE,INDEX(ENDUSEALL[Bonus Rate ($/kWh)],_xlpm.ROWS)&lt;&gt;""),ENDUSEALL[Bonus Rate ($/kWh)],ENDUSEALL[Rate ($/kWh)]),_xlpm.ROWS),""))</f>
        <v/>
      </c>
      <c r="BL28" s="829"/>
      <c r="BM28" s="829"/>
      <c r="BN28" s="1068" t="str">
        <f>_xlfn.LET(_xlpm.BONUS_RATE,INDEX(ENDUSEALL[Bonus Rate ($/kWh)],MATCH(BG28,ENDUSEALL[End Use to Coincident Peak Demand Factors],0)),_xlpm.BASE_RATE,INDEX(ENDUSEALL[Rate ($/kWh)],MATCH(BG28,ENDUSEALL[End Use to Coincident Peak Demand Factors],0)),IFERROR(IF(OR(ACTIVEBONUS_N &lt;&gt; TRUE,ISNUMBER(AN28) = FALSE,BS28 &lt;&gt; ""),"",AN28-(AK28*_xlpm.BASE_RATE)),""))</f>
        <v/>
      </c>
      <c r="BO28" s="1070" t="str">
        <f>IF(OR(C28="",L28="",Q28="",T28="",Y28="",AB28="",AE28=""),"",IF(BQ28&lt;&gt;"",SPILLOVERNUMBER,INDEX(CMEMOTOR_N[Measure Number],MATCH(C28,CMEMOTOR_N[Proj Desc 1],0))))</f>
        <v/>
      </c>
      <c r="BP28" s="815" t="str">
        <f>IFERROR(
IF(BS28="",
IF(AND(ROUND(AN28/AH28,2)=INCCOSTCAP,BJ28/AH28&gt;INCCOSTCAP),
"100% Incremental Cost",
IF(BK28&lt;KWHRATEMIN,
"kWh Incentive Rate Min",
IF(BK28&gt;KWHRATEMAX,
"kWh Incentive Rate Cap",
IF(AN28=BN28,
"Bonus Incentive",
"kWh Incentive"
)))),""),
"")</f>
        <v/>
      </c>
      <c r="BQ28" s="815" t="str">
        <f ca="1">IFERROR(IF(EXPIRATION&lt;&gt;"",PROJSTATEXP,
IF(BS28&gt;0,"",
IF(BD28-BE28&lt;=0,MEASURESAVE,
IF(OR(N02S03F14="",N02S03F14="Select Rate Code",N02S03F14=0),MEASURERATE,
IF(AND(ISNUMBER(SEARCH("Others",C28)),OR(BF28="",BG28="")),MEASURESUBMIT,
IF(AH28&lt;=0,MEASUREINCR,
IF(PAYPROJ_N&lt;PAYBACKREQ,PROJECTSTATPAYBACK,
IF(CBPROJ_N&lt;CBREQ,PROJECTSTATCB,"")))))))),MEASURESUBMIT)</f>
        <v>Submit for Review</v>
      </c>
      <c r="BR28" s="787" t="str">
        <f>IFERROR(IF(OR(C28="",L28="",Q28="",T28="",Y28="",AB28="",AE28=""),"",
ROUND(((1+ELOSS)*((AK28*INDEX(ELECCB[NPV AEC $/kWh],MATCH(BF28,ELECCB[Year Number],1)))+(BH28*INDEX(ELECCB[NPV ACC $/kW],MATCH(BF28,ELECCB[Year Number],1))))),2)),0)</f>
        <v/>
      </c>
      <c r="BS28" s="853"/>
    </row>
    <row r="29" spans="1:71" ht="15.95" customHeight="1">
      <c r="B29" s="800"/>
      <c r="C29" s="1091"/>
      <c r="D29" s="1092"/>
      <c r="E29" s="1092"/>
      <c r="F29" s="1092"/>
      <c r="G29" s="1092"/>
      <c r="H29" s="1092"/>
      <c r="I29" s="1092"/>
      <c r="J29" s="1092"/>
      <c r="K29" s="1092"/>
      <c r="L29" s="1081"/>
      <c r="M29" s="1081"/>
      <c r="N29" s="1081"/>
      <c r="O29" s="1081"/>
      <c r="P29" s="1119"/>
      <c r="Q29" s="1117"/>
      <c r="R29" s="1078"/>
      <c r="S29" s="1078"/>
      <c r="T29" s="1081"/>
      <c r="U29" s="1081"/>
      <c r="V29" s="1081"/>
      <c r="W29" s="1081"/>
      <c r="X29" s="1119"/>
      <c r="Y29" s="1117"/>
      <c r="Z29" s="1078"/>
      <c r="AA29" s="1078"/>
      <c r="AB29" s="1093"/>
      <c r="AC29" s="1093"/>
      <c r="AD29" s="1094"/>
      <c r="AE29" s="1095"/>
      <c r="AF29" s="1096"/>
      <c r="AG29" s="1096"/>
      <c r="AH29" s="1105"/>
      <c r="AI29" s="1105"/>
      <c r="AJ29" s="1106"/>
      <c r="AK29" s="832"/>
      <c r="AL29" s="832"/>
      <c r="AM29" s="832"/>
      <c r="AN29" s="1100"/>
      <c r="AO29" s="1101"/>
      <c r="AP29" s="1101"/>
      <c r="AQ29" s="1102"/>
      <c r="AY29" s="836"/>
      <c r="AZ29" s="836"/>
      <c r="BA29" s="816"/>
      <c r="BB29" s="850"/>
      <c r="BC29" s="850"/>
      <c r="BD29" s="837"/>
      <c r="BE29" s="838"/>
      <c r="BF29" s="844"/>
      <c r="BG29" s="846"/>
      <c r="BH29" s="838"/>
      <c r="BI29" s="875"/>
      <c r="BJ29" s="788"/>
      <c r="BK29" s="787"/>
      <c r="BL29" s="830"/>
      <c r="BM29" s="830"/>
      <c r="BN29" s="1069"/>
      <c r="BO29" s="1071"/>
      <c r="BP29" s="816"/>
      <c r="BQ29" s="816"/>
      <c r="BR29" s="788"/>
      <c r="BS29" s="854"/>
    </row>
    <row r="30" spans="1:71" ht="15.95" customHeight="1">
      <c r="B30" s="800">
        <v>7</v>
      </c>
      <c r="C30" s="1091"/>
      <c r="D30" s="1092"/>
      <c r="E30" s="1092"/>
      <c r="F30" s="1092"/>
      <c r="G30" s="1092"/>
      <c r="H30" s="1092"/>
      <c r="I30" s="1092"/>
      <c r="J30" s="1092"/>
      <c r="K30" s="1092"/>
      <c r="L30" s="1083"/>
      <c r="M30" s="1083"/>
      <c r="N30" s="1083"/>
      <c r="O30" s="1083"/>
      <c r="P30" s="1121"/>
      <c r="Q30" s="1120"/>
      <c r="R30" s="1086"/>
      <c r="S30" s="1086"/>
      <c r="T30" s="1083"/>
      <c r="U30" s="1083"/>
      <c r="V30" s="1083"/>
      <c r="W30" s="1083"/>
      <c r="X30" s="1121"/>
      <c r="Y30" s="1120"/>
      <c r="Z30" s="1086"/>
      <c r="AA30" s="1086"/>
      <c r="AB30" s="1093"/>
      <c r="AC30" s="1093"/>
      <c r="AD30" s="1094"/>
      <c r="AE30" s="1095"/>
      <c r="AF30" s="1096"/>
      <c r="AG30" s="1096"/>
      <c r="AH30" s="1103" t="str">
        <f t="shared" ref="AH30" si="34">IF(OR(C30="",L30="",Q30="",T30="",Y30="",AB30="",AE30=""),"",ROUND(AE30-AB30,2))</f>
        <v/>
      </c>
      <c r="AI30" s="1103"/>
      <c r="AJ30" s="1104"/>
      <c r="AK30" s="831" t="str">
        <f t="shared" ref="AK30" si="35">IF(OR(C30="",L30="",Q30="",T30="",Y30="",AB30="",AE30=""),"",IF(BD30-BE30&lt;=0,0,ROUND(BD30-BE30,0)))</f>
        <v/>
      </c>
      <c r="AL30" s="831"/>
      <c r="AM30" s="831"/>
      <c r="AN30" s="1097" t="str">
        <f>IF(OR(C30="",L30="",Q30="",T30="",Y30="",AB30="",AE30=""),"",
IF(BQ30&lt;&gt;"",BQ30,IF(BS30&gt;0,BS30,
IF(ACTIVEBLOCK_N="Yes",ROUND(MIN(AH30*INCCOSTCAP,AK30*BLOCKBIDRATE),2),
ROUND(MIN(AH30*INCCOSTCAP,BJ30),2))
)))</f>
        <v/>
      </c>
      <c r="AO30" s="1098"/>
      <c r="AP30" s="1098"/>
      <c r="AQ30" s="1099"/>
      <c r="AY30" s="835" t="str">
        <f t="shared" ref="AY30" si="36">IFERROR(IF(OR(C30="",L30="",Q30="",T30="",Y30="",AB30="",AE30=""),"",ROUND(BR30/AH30,2)),0)</f>
        <v/>
      </c>
      <c r="AZ30" s="835" t="str">
        <f>IFERROR(AH30/N02S03F14/AK30,"")</f>
        <v/>
      </c>
      <c r="BA30" s="815" t="str">
        <f>IF(C30="","",INDEX(CMEMOTOR_N[Unit of Measure],MATCH(C30,CMEMOTOR_N[Proj Desc 1],0)))</f>
        <v/>
      </c>
      <c r="BB30" s="849" t="str">
        <f t="shared" ref="BB30" si="37">IF(AK30&lt;&gt;"","Missing!","")</f>
        <v/>
      </c>
      <c r="BC30" s="849" t="str">
        <f t="shared" ref="BC30" si="38">IF(AK30&lt;&gt;"","Missing!","")</f>
        <v/>
      </c>
      <c r="BD30" s="1065" t="str">
        <f t="shared" si="19"/>
        <v/>
      </c>
      <c r="BE30" s="837" t="str">
        <f t="shared" ref="BE30" si="39">IF(OR(C30="",L30="",Q30="",T30="",Y30="",AB30="",AE30=""),"",ROUND(Y30,0))</f>
        <v/>
      </c>
      <c r="BF30" s="843" t="str">
        <f>IF(C30="","",IF(INDEX(CMEMOTOR_N[EUL],MATCH(C30,CMEMOTOR_N[Proj Desc 1],0))="","",INDEX(CMEMOTOR_N[EUL],MATCH(C30,CMEMOTOR_N[Proj Desc 1],0))))</f>
        <v/>
      </c>
      <c r="BG30" s="845" t="str">
        <f>IF(C30="","",IF(INDEX(CMEMOTOR_N[End Use Category],MATCH(C30,CMEMOTOR_N[Proj Desc 1],0))="","",INDEX(CMEMOTOR_N[End Use Category],MATCH(C30,CMEMOTOR_N[Proj Desc 1],0))))</f>
        <v/>
      </c>
      <c r="BH30" s="837" t="str">
        <f>IFERROR(IF(OR(C30="",L30="",Q30="",T30="",Y30="",AB30="",AE30=""),"",ROUND(AK30*INDEX(ENDUSEALL[Factor],MATCH(BG30,ENDUSEALL[End Use to Coincident Peak Demand Factors],0)),4)),"")</f>
        <v/>
      </c>
      <c r="BI30" s="874"/>
      <c r="BJ30" s="787" t="str">
        <f>IFERROR(ROUND(AK30*BK30,2),"")</f>
        <v/>
      </c>
      <c r="BK30" s="1067" t="str">
        <f>_xlfn.LET(_xlpm.ROWS,MATCH(BG30,ENDUSEALL[End Use to Coincident Peak Demand Factors],0),IFERROR(INDEX(IF(AND(ACTIVEBONUS_N = TRUE,INDEX(ENDUSEALL[Bonus Rate ($/kWh)],_xlpm.ROWS)&lt;&gt;""),ENDUSEALL[Bonus Rate ($/kWh)],ENDUSEALL[Rate ($/kWh)]),_xlpm.ROWS),""))</f>
        <v/>
      </c>
      <c r="BL30" s="829"/>
      <c r="BM30" s="829"/>
      <c r="BN30" s="1068" t="str">
        <f>_xlfn.LET(_xlpm.BONUS_RATE,INDEX(ENDUSEALL[Bonus Rate ($/kWh)],MATCH(BG30,ENDUSEALL[End Use to Coincident Peak Demand Factors],0)),_xlpm.BASE_RATE,INDEX(ENDUSEALL[Rate ($/kWh)],MATCH(BG30,ENDUSEALL[End Use to Coincident Peak Demand Factors],0)),IFERROR(IF(OR(ACTIVEBONUS_N &lt;&gt; TRUE,ISNUMBER(AN30) = FALSE,BS30 &lt;&gt; ""),"",AN30-(AK30*_xlpm.BASE_RATE)),""))</f>
        <v/>
      </c>
      <c r="BO30" s="1070" t="str">
        <f>IF(OR(C30="",L30="",Q30="",T30="",Y30="",AB30="",AE30=""),"",IF(BQ30&lt;&gt;"",SPILLOVERNUMBER,INDEX(CMEMOTOR_N[Measure Number],MATCH(C30,CMEMOTOR_N[Proj Desc 1],0))))</f>
        <v/>
      </c>
      <c r="BP30" s="815" t="str">
        <f>IFERROR(
IF(BS30="",
IF(AND(ROUND(AN30/AH30,2)=INCCOSTCAP,BJ30/AH30&gt;INCCOSTCAP),
"100% Incremental Cost",
IF(BK30&lt;KWHRATEMIN,
"kWh Incentive Rate Min",
IF(BK30&gt;KWHRATEMAX,
"kWh Incentive Rate Cap",
IF(AN30=BN30,
"Bonus Incentive",
"kWh Incentive"
)))),""),
"")</f>
        <v/>
      </c>
      <c r="BQ30" s="815" t="str">
        <f ca="1">IFERROR(IF(EXPIRATION&lt;&gt;"",PROJSTATEXP,
IF(BS30&gt;0,"",
IF(BD30-BE30&lt;=0,MEASURESAVE,
IF(OR(N02S03F14="",N02S03F14="Select Rate Code",N02S03F14=0),MEASURERATE,
IF(AND(ISNUMBER(SEARCH("Others",C30)),OR(BF30="",BG30="")),MEASURESUBMIT,
IF(AH30&lt;=0,MEASUREINCR,
IF(PAYPROJ_N&lt;PAYBACKREQ,PROJECTSTATPAYBACK,
IF(CBPROJ_N&lt;CBREQ,PROJECTSTATCB,"")))))))),MEASURESUBMIT)</f>
        <v>Submit for Review</v>
      </c>
      <c r="BR30" s="787" t="str">
        <f>IFERROR(IF(OR(C30="",L30="",Q30="",T30="",Y30="",AB30="",AE30=""),"",
ROUND(((1+ELOSS)*((AK30*INDEX(ELECCB[NPV AEC $/kWh],MATCH(BF30,ELECCB[Year Number],1)))+(BH30*INDEX(ELECCB[NPV ACC $/kW],MATCH(BF30,ELECCB[Year Number],1))))),2)),0)</f>
        <v/>
      </c>
      <c r="BS30" s="853"/>
    </row>
    <row r="31" spans="1:71" ht="15.95" customHeight="1">
      <c r="B31" s="800"/>
      <c r="C31" s="1091"/>
      <c r="D31" s="1092"/>
      <c r="E31" s="1092"/>
      <c r="F31" s="1092"/>
      <c r="G31" s="1092"/>
      <c r="H31" s="1092"/>
      <c r="I31" s="1092"/>
      <c r="J31" s="1092"/>
      <c r="K31" s="1092"/>
      <c r="L31" s="1081"/>
      <c r="M31" s="1081"/>
      <c r="N31" s="1081"/>
      <c r="O31" s="1081"/>
      <c r="P31" s="1119"/>
      <c r="Q31" s="1117"/>
      <c r="R31" s="1078"/>
      <c r="S31" s="1078"/>
      <c r="T31" s="1081"/>
      <c r="U31" s="1081"/>
      <c r="V31" s="1081"/>
      <c r="W31" s="1081"/>
      <c r="X31" s="1119"/>
      <c r="Y31" s="1117"/>
      <c r="Z31" s="1078"/>
      <c r="AA31" s="1078"/>
      <c r="AB31" s="1093"/>
      <c r="AC31" s="1093"/>
      <c r="AD31" s="1094"/>
      <c r="AE31" s="1095"/>
      <c r="AF31" s="1096"/>
      <c r="AG31" s="1096"/>
      <c r="AH31" s="1105"/>
      <c r="AI31" s="1105"/>
      <c r="AJ31" s="1106"/>
      <c r="AK31" s="832"/>
      <c r="AL31" s="832"/>
      <c r="AM31" s="832"/>
      <c r="AN31" s="1100"/>
      <c r="AO31" s="1101"/>
      <c r="AP31" s="1101"/>
      <c r="AQ31" s="1102"/>
      <c r="AY31" s="836"/>
      <c r="AZ31" s="836"/>
      <c r="BA31" s="816"/>
      <c r="BB31" s="850"/>
      <c r="BC31" s="850"/>
      <c r="BD31" s="837"/>
      <c r="BE31" s="838"/>
      <c r="BF31" s="844"/>
      <c r="BG31" s="846"/>
      <c r="BH31" s="838"/>
      <c r="BI31" s="875"/>
      <c r="BJ31" s="788"/>
      <c r="BK31" s="787"/>
      <c r="BL31" s="830"/>
      <c r="BM31" s="830"/>
      <c r="BN31" s="1069"/>
      <c r="BO31" s="1071"/>
      <c r="BP31" s="816"/>
      <c r="BQ31" s="816"/>
      <c r="BR31" s="788"/>
      <c r="BS31" s="854"/>
    </row>
    <row r="32" spans="1:71" ht="15.95" customHeight="1">
      <c r="B32" s="800">
        <v>8</v>
      </c>
      <c r="C32" s="1091"/>
      <c r="D32" s="1092"/>
      <c r="E32" s="1092"/>
      <c r="F32" s="1092"/>
      <c r="G32" s="1092"/>
      <c r="H32" s="1092"/>
      <c r="I32" s="1092"/>
      <c r="J32" s="1092"/>
      <c r="K32" s="1092"/>
      <c r="L32" s="1083"/>
      <c r="M32" s="1083"/>
      <c r="N32" s="1083"/>
      <c r="O32" s="1083"/>
      <c r="P32" s="1121"/>
      <c r="Q32" s="1120"/>
      <c r="R32" s="1086"/>
      <c r="S32" s="1086"/>
      <c r="T32" s="1083"/>
      <c r="U32" s="1083"/>
      <c r="V32" s="1083"/>
      <c r="W32" s="1083"/>
      <c r="X32" s="1121"/>
      <c r="Y32" s="1120"/>
      <c r="Z32" s="1086"/>
      <c r="AA32" s="1086"/>
      <c r="AB32" s="1093"/>
      <c r="AC32" s="1093"/>
      <c r="AD32" s="1094"/>
      <c r="AE32" s="1095"/>
      <c r="AF32" s="1096"/>
      <c r="AG32" s="1096"/>
      <c r="AH32" s="1103" t="str">
        <f t="shared" ref="AH32" si="40">IF(OR(C32="",L32="",Q32="",T32="",Y32="",AB32="",AE32=""),"",ROUND(AE32-AB32,2))</f>
        <v/>
      </c>
      <c r="AI32" s="1103"/>
      <c r="AJ32" s="1104"/>
      <c r="AK32" s="831" t="str">
        <f t="shared" ref="AK32" si="41">IF(OR(C32="",L32="",Q32="",T32="",Y32="",AB32="",AE32=""),"",IF(BD32-BE32&lt;=0,0,ROUND(BD32-BE32,0)))</f>
        <v/>
      </c>
      <c r="AL32" s="831"/>
      <c r="AM32" s="831"/>
      <c r="AN32" s="1097" t="str">
        <f>IF(OR(C32="",L32="",Q32="",T32="",Y32="",AB32="",AE32=""),"",
IF(BQ32&lt;&gt;"",BQ32,IF(BS32&gt;0,BS32,
IF(ACTIVEBLOCK_N="Yes",ROUND(MIN(AH32*INCCOSTCAP,AK32*BLOCKBIDRATE),2),
ROUND(MIN(AH32*INCCOSTCAP,BJ32),2))
)))</f>
        <v/>
      </c>
      <c r="AO32" s="1098"/>
      <c r="AP32" s="1098"/>
      <c r="AQ32" s="1099"/>
      <c r="AY32" s="835" t="str">
        <f t="shared" ref="AY32" si="42">IFERROR(IF(OR(C32="",L32="",Q32="",T32="",Y32="",AB32="",AE32=""),"",ROUND(BR32/AH32,2)),0)</f>
        <v/>
      </c>
      <c r="AZ32" s="835" t="str">
        <f>IFERROR(AH32/N02S03F14/AK32,"")</f>
        <v/>
      </c>
      <c r="BA32" s="815" t="str">
        <f>IF(C32="","",INDEX(CMEMOTOR_N[Unit of Measure],MATCH(C32,CMEMOTOR_N[Proj Desc 1],0)))</f>
        <v/>
      </c>
      <c r="BB32" s="849" t="str">
        <f t="shared" ref="BB32" si="43">IF(AK32&lt;&gt;"","Missing!","")</f>
        <v/>
      </c>
      <c r="BC32" s="849" t="str">
        <f t="shared" ref="BC32" si="44">IF(AK32&lt;&gt;"","Missing!","")</f>
        <v/>
      </c>
      <c r="BD32" s="1065" t="str">
        <f t="shared" si="19"/>
        <v/>
      </c>
      <c r="BE32" s="837" t="str">
        <f t="shared" ref="BE32" si="45">IF(OR(C32="",L32="",Q32="",T32="",Y32="",AB32="",AE32=""),"",ROUND(Y32,0))</f>
        <v/>
      </c>
      <c r="BF32" s="843" t="str">
        <f>IF(C32="","",IF(INDEX(CMEMOTOR_N[EUL],MATCH(C32,CMEMOTOR_N[Proj Desc 1],0))="","",INDEX(CMEMOTOR_N[EUL],MATCH(C32,CMEMOTOR_N[Proj Desc 1],0))))</f>
        <v/>
      </c>
      <c r="BG32" s="845" t="str">
        <f>IF(C32="","",IF(INDEX(CMEMOTOR_N[End Use Category],MATCH(C32,CMEMOTOR_N[Proj Desc 1],0))="","",INDEX(CMEMOTOR_N[End Use Category],MATCH(C32,CMEMOTOR_N[Proj Desc 1],0))))</f>
        <v/>
      </c>
      <c r="BH32" s="837" t="str">
        <f>IFERROR(IF(OR(C32="",L32="",Q32="",T32="",Y32="",AB32="",AE32=""),"",ROUND(AK32*INDEX(ENDUSEALL[Factor],MATCH(BG32,ENDUSEALL[End Use to Coincident Peak Demand Factors],0)),4)),"")</f>
        <v/>
      </c>
      <c r="BI32" s="874"/>
      <c r="BJ32" s="787" t="str">
        <f>IFERROR(ROUND(AK32*BK32,2),"")</f>
        <v/>
      </c>
      <c r="BK32" s="1067" t="str">
        <f>_xlfn.LET(_xlpm.ROWS,MATCH(BG32,ENDUSEALL[End Use to Coincident Peak Demand Factors],0),IFERROR(INDEX(IF(AND(ACTIVEBONUS_N = TRUE,INDEX(ENDUSEALL[Bonus Rate ($/kWh)],_xlpm.ROWS)&lt;&gt;""),ENDUSEALL[Bonus Rate ($/kWh)],ENDUSEALL[Rate ($/kWh)]),_xlpm.ROWS),""))</f>
        <v/>
      </c>
      <c r="BL32" s="829"/>
      <c r="BM32" s="829"/>
      <c r="BN32" s="1068" t="str">
        <f>_xlfn.LET(_xlpm.BONUS_RATE,INDEX(ENDUSEALL[Bonus Rate ($/kWh)],MATCH(BG32,ENDUSEALL[End Use to Coincident Peak Demand Factors],0)),_xlpm.BASE_RATE,INDEX(ENDUSEALL[Rate ($/kWh)],MATCH(BG32,ENDUSEALL[End Use to Coincident Peak Demand Factors],0)),IFERROR(IF(OR(ACTIVEBONUS_N &lt;&gt; TRUE,ISNUMBER(AN32) = FALSE,BS32 &lt;&gt; ""),"",AN32-(AK32*_xlpm.BASE_RATE)),""))</f>
        <v/>
      </c>
      <c r="BO32" s="1070" t="str">
        <f>IF(OR(C32="",L32="",Q32="",T32="",Y32="",AB32="",AE32=""),"",IF(BQ32&lt;&gt;"",SPILLOVERNUMBER,INDEX(CMEMOTOR_N[Measure Number],MATCH(C32,CMEMOTOR_N[Proj Desc 1],0))))</f>
        <v/>
      </c>
      <c r="BP32" s="815" t="str">
        <f>IFERROR(
IF(BS32="",
IF(AND(ROUND(AN32/AH32,2)=INCCOSTCAP,BJ32/AH32&gt;INCCOSTCAP),
"100% Incremental Cost",
IF(BK32&lt;KWHRATEMIN,
"kWh Incentive Rate Min",
IF(BK32&gt;KWHRATEMAX,
"kWh Incentive Rate Cap",
IF(AN32=BN32,
"Bonus Incentive",
"kWh Incentive"
)))),""),
"")</f>
        <v/>
      </c>
      <c r="BQ32" s="815" t="str">
        <f ca="1">IFERROR(IF(EXPIRATION&lt;&gt;"",PROJSTATEXP,
IF(BS32&gt;0,"",
IF(BD32-BE32&lt;=0,MEASURESAVE,
IF(OR(N02S03F14="",N02S03F14="Select Rate Code",N02S03F14=0),MEASURERATE,
IF(AND(ISNUMBER(SEARCH("Others",C32)),OR(BF32="",BG32="")),MEASURESUBMIT,
IF(AH32&lt;=0,MEASUREINCR,
IF(PAYPROJ_N&lt;PAYBACKREQ,PROJECTSTATPAYBACK,
IF(CBPROJ_N&lt;CBREQ,PROJECTSTATCB,"")))))))),MEASURESUBMIT)</f>
        <v>Submit for Review</v>
      </c>
      <c r="BR32" s="787" t="str">
        <f>IFERROR(IF(OR(C32="",L32="",Q32="",T32="",Y32="",AB32="",AE32=""),"",
ROUND(((1+ELOSS)*((AK32*INDEX(ELECCB[NPV AEC $/kWh],MATCH(BF32,ELECCB[Year Number],1)))+(BH32*INDEX(ELECCB[NPV ACC $/kW],MATCH(BF32,ELECCB[Year Number],1))))),2)),0)</f>
        <v/>
      </c>
      <c r="BS32" s="853"/>
    </row>
    <row r="33" spans="2:71" ht="15.95" customHeight="1">
      <c r="B33" s="800"/>
      <c r="C33" s="1091"/>
      <c r="D33" s="1092"/>
      <c r="E33" s="1092"/>
      <c r="F33" s="1092"/>
      <c r="G33" s="1092"/>
      <c r="H33" s="1092"/>
      <c r="I33" s="1092"/>
      <c r="J33" s="1092"/>
      <c r="K33" s="1092"/>
      <c r="L33" s="1081"/>
      <c r="M33" s="1081"/>
      <c r="N33" s="1081"/>
      <c r="O33" s="1081"/>
      <c r="P33" s="1119"/>
      <c r="Q33" s="1117"/>
      <c r="R33" s="1078"/>
      <c r="S33" s="1078"/>
      <c r="T33" s="1081"/>
      <c r="U33" s="1081"/>
      <c r="V33" s="1081"/>
      <c r="W33" s="1081"/>
      <c r="X33" s="1119"/>
      <c r="Y33" s="1117"/>
      <c r="Z33" s="1078"/>
      <c r="AA33" s="1078"/>
      <c r="AB33" s="1093"/>
      <c r="AC33" s="1093"/>
      <c r="AD33" s="1094"/>
      <c r="AE33" s="1095"/>
      <c r="AF33" s="1096"/>
      <c r="AG33" s="1096"/>
      <c r="AH33" s="1105"/>
      <c r="AI33" s="1105"/>
      <c r="AJ33" s="1106"/>
      <c r="AK33" s="832"/>
      <c r="AL33" s="832"/>
      <c r="AM33" s="832"/>
      <c r="AN33" s="1100"/>
      <c r="AO33" s="1101"/>
      <c r="AP33" s="1101"/>
      <c r="AQ33" s="1102"/>
      <c r="AY33" s="836"/>
      <c r="AZ33" s="836"/>
      <c r="BA33" s="816"/>
      <c r="BB33" s="850"/>
      <c r="BC33" s="850"/>
      <c r="BD33" s="837"/>
      <c r="BE33" s="838"/>
      <c r="BF33" s="844"/>
      <c r="BG33" s="846"/>
      <c r="BH33" s="838"/>
      <c r="BI33" s="875"/>
      <c r="BJ33" s="788"/>
      <c r="BK33" s="787"/>
      <c r="BL33" s="830"/>
      <c r="BM33" s="830"/>
      <c r="BN33" s="1069"/>
      <c r="BO33" s="1071"/>
      <c r="BP33" s="816"/>
      <c r="BQ33" s="816"/>
      <c r="BR33" s="788"/>
      <c r="BS33" s="854"/>
    </row>
    <row r="34" spans="2:71" ht="15.95" customHeight="1">
      <c r="B34" s="800">
        <v>9</v>
      </c>
      <c r="C34" s="1091"/>
      <c r="D34" s="1092"/>
      <c r="E34" s="1092"/>
      <c r="F34" s="1092"/>
      <c r="G34" s="1092"/>
      <c r="H34" s="1092"/>
      <c r="I34" s="1092"/>
      <c r="J34" s="1092"/>
      <c r="K34" s="1092"/>
      <c r="L34" s="1083"/>
      <c r="M34" s="1083"/>
      <c r="N34" s="1083"/>
      <c r="O34" s="1083"/>
      <c r="P34" s="1121"/>
      <c r="Q34" s="1120"/>
      <c r="R34" s="1086"/>
      <c r="S34" s="1086"/>
      <c r="T34" s="1083"/>
      <c r="U34" s="1083"/>
      <c r="V34" s="1083"/>
      <c r="W34" s="1083"/>
      <c r="X34" s="1121"/>
      <c r="Y34" s="1120"/>
      <c r="Z34" s="1086"/>
      <c r="AA34" s="1086"/>
      <c r="AB34" s="1093"/>
      <c r="AC34" s="1093"/>
      <c r="AD34" s="1094"/>
      <c r="AE34" s="1095"/>
      <c r="AF34" s="1096"/>
      <c r="AG34" s="1096"/>
      <c r="AH34" s="1103" t="str">
        <f t="shared" ref="AH34" si="46">IF(OR(C34="",L34="",Q34="",T34="",Y34="",AB34="",AE34=""),"",ROUND(AE34-AB34,2))</f>
        <v/>
      </c>
      <c r="AI34" s="1103"/>
      <c r="AJ34" s="1104"/>
      <c r="AK34" s="831" t="str">
        <f t="shared" ref="AK34" si="47">IF(OR(C34="",L34="",Q34="",T34="",Y34="",AB34="",AE34=""),"",IF(BD34-BE34&lt;=0,0,ROUND(BD34-BE34,0)))</f>
        <v/>
      </c>
      <c r="AL34" s="831"/>
      <c r="AM34" s="831"/>
      <c r="AN34" s="1097" t="str">
        <f>IF(OR(C34="",L34="",Q34="",T34="",Y34="",AB34="",AE34=""),"",
IF(BQ34&lt;&gt;"",BQ34,IF(BS34&gt;0,BS34,
IF(ACTIVEBLOCK_N="Yes",ROUND(MIN(AH34*INCCOSTCAP,AK34*BLOCKBIDRATE),2),
ROUND(MIN(AH34*INCCOSTCAP,BJ34),2))
)))</f>
        <v/>
      </c>
      <c r="AO34" s="1098"/>
      <c r="AP34" s="1098"/>
      <c r="AQ34" s="1099"/>
      <c r="AY34" s="835" t="str">
        <f t="shared" ref="AY34" si="48">IFERROR(IF(OR(C34="",L34="",Q34="",T34="",Y34="",AB34="",AE34=""),"",ROUND(BR34/AH34,2)),0)</f>
        <v/>
      </c>
      <c r="AZ34" s="835" t="str">
        <f>IFERROR(AH34/N02S03F14/AK34,"")</f>
        <v/>
      </c>
      <c r="BA34" s="815" t="str">
        <f>IF(C34="","",INDEX(CMEMOTOR_N[Unit of Measure],MATCH(C34,CMEMOTOR_N[Proj Desc 1],0)))</f>
        <v/>
      </c>
      <c r="BB34" s="849" t="str">
        <f t="shared" ref="BB34" si="49">IF(AK34&lt;&gt;"","Missing!","")</f>
        <v/>
      </c>
      <c r="BC34" s="849" t="str">
        <f t="shared" ref="BC34" si="50">IF(AK34&lt;&gt;"","Missing!","")</f>
        <v/>
      </c>
      <c r="BD34" s="1065" t="str">
        <f t="shared" si="32"/>
        <v/>
      </c>
      <c r="BE34" s="837" t="str">
        <f t="shared" ref="BE34" si="51">IF(OR(C34="",L34="",Q34="",T34="",Y34="",AB34="",AE34=""),"",ROUND(Y34,0))</f>
        <v/>
      </c>
      <c r="BF34" s="843" t="str">
        <f>IF(C34="","",IF(INDEX(CMEMOTOR_N[EUL],MATCH(C34,CMEMOTOR_N[Proj Desc 1],0))="","",INDEX(CMEMOTOR_N[EUL],MATCH(C34,CMEMOTOR_N[Proj Desc 1],0))))</f>
        <v/>
      </c>
      <c r="BG34" s="845" t="str">
        <f>IF(C34="","",IF(INDEX(CMEMOTOR_N[End Use Category],MATCH(C34,CMEMOTOR_N[Proj Desc 1],0))="","",INDEX(CMEMOTOR_N[End Use Category],MATCH(C34,CMEMOTOR_N[Proj Desc 1],0))))</f>
        <v/>
      </c>
      <c r="BH34" s="837" t="str">
        <f>IFERROR(IF(OR(C34="",L34="",Q34="",T34="",Y34="",AB34="",AE34=""),"",ROUND(AK34*INDEX(ENDUSEALL[Factor],MATCH(BG34,ENDUSEALL[End Use to Coincident Peak Demand Factors],0)),4)),"")</f>
        <v/>
      </c>
      <c r="BI34" s="874"/>
      <c r="BJ34" s="787" t="str">
        <f>IFERROR(ROUND(AK34*BK34,2),"")</f>
        <v/>
      </c>
      <c r="BK34" s="1067" t="str">
        <f>_xlfn.LET(_xlpm.ROWS,MATCH(BG34,ENDUSEALL[End Use to Coincident Peak Demand Factors],0),IFERROR(INDEX(IF(AND(ACTIVEBONUS_N = TRUE,INDEX(ENDUSEALL[Bonus Rate ($/kWh)],_xlpm.ROWS)&lt;&gt;""),ENDUSEALL[Bonus Rate ($/kWh)],ENDUSEALL[Rate ($/kWh)]),_xlpm.ROWS),""))</f>
        <v/>
      </c>
      <c r="BL34" s="829"/>
      <c r="BM34" s="829"/>
      <c r="BN34" s="1068" t="str">
        <f>_xlfn.LET(_xlpm.BONUS_RATE,INDEX(ENDUSEALL[Bonus Rate ($/kWh)],MATCH(BG34,ENDUSEALL[End Use to Coincident Peak Demand Factors],0)),_xlpm.BASE_RATE,INDEX(ENDUSEALL[Rate ($/kWh)],MATCH(BG34,ENDUSEALL[End Use to Coincident Peak Demand Factors],0)),IFERROR(IF(OR(ACTIVEBONUS_N &lt;&gt; TRUE,ISNUMBER(AN34) = FALSE,BS34 &lt;&gt; ""),"",AN34-(AK34*_xlpm.BASE_RATE)),""))</f>
        <v/>
      </c>
      <c r="BO34" s="1070" t="str">
        <f>IF(OR(C34="",L34="",Q34="",T34="",Y34="",AB34="",AE34=""),"",IF(BQ34&lt;&gt;"",SPILLOVERNUMBER,INDEX(CMEMOTOR_N[Measure Number],MATCH(C34,CMEMOTOR_N[Proj Desc 1],0))))</f>
        <v/>
      </c>
      <c r="BP34" s="815" t="str">
        <f>IFERROR(
IF(BS34="",
IF(AND(ROUND(AN34/AH34,2)=INCCOSTCAP,BJ34/AH34&gt;INCCOSTCAP),
"100% Incremental Cost",
IF(BK34&lt;KWHRATEMIN,
"kWh Incentive Rate Min",
IF(BK34&gt;KWHRATEMAX,
"kWh Incentive Rate Cap",
IF(AN34=BN34,
"Bonus Incentive",
"kWh Incentive"
)))),""),
"")</f>
        <v/>
      </c>
      <c r="BQ34" s="815" t="str">
        <f ca="1">IFERROR(IF(EXPIRATION&lt;&gt;"",PROJSTATEXP,
IF(BS34&gt;0,"",
IF(BD34-BE34&lt;=0,MEASURESAVE,
IF(OR(N02S03F14="",N02S03F14="Select Rate Code",N02S03F14=0),MEASURERATE,
IF(AND(ISNUMBER(SEARCH("Others",C34)),OR(BF34="",BG34="")),MEASURESUBMIT,
IF(AH34&lt;=0,MEASUREINCR,
IF(PAYPROJ_N&lt;PAYBACKREQ,PROJECTSTATPAYBACK,
IF(CBPROJ_N&lt;CBREQ,PROJECTSTATCB,"")))))))),MEASURESUBMIT)</f>
        <v>Submit for Review</v>
      </c>
      <c r="BR34" s="787" t="str">
        <f>IFERROR(IF(OR(C34="",L34="",Q34="",T34="",Y34="",AB34="",AE34=""),"",
ROUND(((1+ELOSS)*((AK34*INDEX(ELECCB[NPV AEC $/kWh],MATCH(BF34,ELECCB[Year Number],1)))+(BH34*INDEX(ELECCB[NPV ACC $/kW],MATCH(BF34,ELECCB[Year Number],1))))),2)),0)</f>
        <v/>
      </c>
      <c r="BS34" s="853"/>
    </row>
    <row r="35" spans="2:71" ht="15.95" customHeight="1">
      <c r="B35" s="800"/>
      <c r="C35" s="1091"/>
      <c r="D35" s="1092"/>
      <c r="E35" s="1092"/>
      <c r="F35" s="1092"/>
      <c r="G35" s="1092"/>
      <c r="H35" s="1092"/>
      <c r="I35" s="1092"/>
      <c r="J35" s="1092"/>
      <c r="K35" s="1092"/>
      <c r="L35" s="1081"/>
      <c r="M35" s="1081"/>
      <c r="N35" s="1081"/>
      <c r="O35" s="1081"/>
      <c r="P35" s="1119"/>
      <c r="Q35" s="1117"/>
      <c r="R35" s="1078"/>
      <c r="S35" s="1078"/>
      <c r="T35" s="1081"/>
      <c r="U35" s="1081"/>
      <c r="V35" s="1081"/>
      <c r="W35" s="1081"/>
      <c r="X35" s="1119"/>
      <c r="Y35" s="1117"/>
      <c r="Z35" s="1078"/>
      <c r="AA35" s="1078"/>
      <c r="AB35" s="1093"/>
      <c r="AC35" s="1093"/>
      <c r="AD35" s="1094"/>
      <c r="AE35" s="1095"/>
      <c r="AF35" s="1096"/>
      <c r="AG35" s="1096"/>
      <c r="AH35" s="1105"/>
      <c r="AI35" s="1105"/>
      <c r="AJ35" s="1106"/>
      <c r="AK35" s="832"/>
      <c r="AL35" s="832"/>
      <c r="AM35" s="832"/>
      <c r="AN35" s="1100"/>
      <c r="AO35" s="1101"/>
      <c r="AP35" s="1101"/>
      <c r="AQ35" s="1102"/>
      <c r="AY35" s="836"/>
      <c r="AZ35" s="836"/>
      <c r="BA35" s="816"/>
      <c r="BB35" s="850"/>
      <c r="BC35" s="850"/>
      <c r="BD35" s="837"/>
      <c r="BE35" s="838"/>
      <c r="BF35" s="844"/>
      <c r="BG35" s="846"/>
      <c r="BH35" s="838"/>
      <c r="BI35" s="875"/>
      <c r="BJ35" s="788"/>
      <c r="BK35" s="787"/>
      <c r="BL35" s="830"/>
      <c r="BM35" s="830"/>
      <c r="BN35" s="1069"/>
      <c r="BO35" s="1071"/>
      <c r="BP35" s="816"/>
      <c r="BQ35" s="816"/>
      <c r="BR35" s="788"/>
      <c r="BS35" s="854"/>
    </row>
    <row r="36" spans="2:71" ht="15.95" customHeight="1">
      <c r="B36" s="800">
        <v>10</v>
      </c>
      <c r="C36" s="1091"/>
      <c r="D36" s="1092"/>
      <c r="E36" s="1092"/>
      <c r="F36" s="1092"/>
      <c r="G36" s="1092"/>
      <c r="H36" s="1092"/>
      <c r="I36" s="1092"/>
      <c r="J36" s="1092"/>
      <c r="K36" s="1092"/>
      <c r="L36" s="1083"/>
      <c r="M36" s="1083"/>
      <c r="N36" s="1083"/>
      <c r="O36" s="1083"/>
      <c r="P36" s="1121"/>
      <c r="Q36" s="1120"/>
      <c r="R36" s="1086"/>
      <c r="S36" s="1086"/>
      <c r="T36" s="1083"/>
      <c r="U36" s="1083"/>
      <c r="V36" s="1083"/>
      <c r="W36" s="1083"/>
      <c r="X36" s="1121"/>
      <c r="Y36" s="1120"/>
      <c r="Z36" s="1086"/>
      <c r="AA36" s="1086"/>
      <c r="AB36" s="1093"/>
      <c r="AC36" s="1093"/>
      <c r="AD36" s="1094"/>
      <c r="AE36" s="1095"/>
      <c r="AF36" s="1096"/>
      <c r="AG36" s="1096"/>
      <c r="AH36" s="1103" t="str">
        <f t="shared" ref="AH36" si="52">IF(OR(C36="",L36="",Q36="",T36="",Y36="",AB36="",AE36=""),"",ROUND(AE36-AB36,2))</f>
        <v/>
      </c>
      <c r="AI36" s="1103"/>
      <c r="AJ36" s="1104"/>
      <c r="AK36" s="831" t="str">
        <f t="shared" ref="AK36" si="53">IF(OR(C36="",L36="",Q36="",T36="",Y36="",AB36="",AE36=""),"",IF(BD36-BE36&lt;=0,0,ROUND(BD36-BE36,0)))</f>
        <v/>
      </c>
      <c r="AL36" s="831"/>
      <c r="AM36" s="831"/>
      <c r="AN36" s="1097" t="str">
        <f>IF(OR(C36="",L36="",Q36="",T36="",Y36="",AB36="",AE36=""),"",
IF(BQ36&lt;&gt;"",BQ36,IF(BS36&gt;0,BS36,
IF(ACTIVEBLOCK_N="Yes",ROUND(MIN(AH36*INCCOSTCAP,AK36*BLOCKBIDRATE),2),
ROUND(MIN(AH36*INCCOSTCAP,BJ36),2))
)))</f>
        <v/>
      </c>
      <c r="AO36" s="1098"/>
      <c r="AP36" s="1098"/>
      <c r="AQ36" s="1099"/>
      <c r="AY36" s="835" t="str">
        <f t="shared" ref="AY36" si="54">IFERROR(IF(OR(C36="",L36="",Q36="",T36="",Y36="",AB36="",AE36=""),"",ROUND(BR36/AH36,2)),0)</f>
        <v/>
      </c>
      <c r="AZ36" s="835" t="str">
        <f>IFERROR(AH36/N02S03F14/AK36,"")</f>
        <v/>
      </c>
      <c r="BA36" s="815" t="str">
        <f>IF(C36="","",INDEX(CMEMOTOR_N[Unit of Measure],MATCH(C36,CMEMOTOR_N[Proj Desc 1],0)))</f>
        <v/>
      </c>
      <c r="BB36" s="849" t="str">
        <f t="shared" ref="BB36" si="55">IF(AK36&lt;&gt;"","Missing!","")</f>
        <v/>
      </c>
      <c r="BC36" s="849" t="str">
        <f t="shared" ref="BC36" si="56">IF(AK36&lt;&gt;"","Missing!","")</f>
        <v/>
      </c>
      <c r="BD36" s="1065" t="str">
        <f t="shared" si="19"/>
        <v/>
      </c>
      <c r="BE36" s="837" t="str">
        <f t="shared" ref="BE36" si="57">IF(OR(C36="",L36="",Q36="",T36="",Y36="",AB36="",AE36=""),"",ROUND(Y36,0))</f>
        <v/>
      </c>
      <c r="BF36" s="843" t="str">
        <f>IF(C36="","",IF(INDEX(CMEMOTOR_N[EUL],MATCH(C36,CMEMOTOR_N[Proj Desc 1],0))="","",INDEX(CMEMOTOR_N[EUL],MATCH(C36,CMEMOTOR_N[Proj Desc 1],0))))</f>
        <v/>
      </c>
      <c r="BG36" s="845" t="str">
        <f>IF(C36="","",IF(INDEX(CMEMOTOR_N[End Use Category],MATCH(C36,CMEMOTOR_N[Proj Desc 1],0))="","",INDEX(CMEMOTOR_N[End Use Category],MATCH(C36,CMEMOTOR_N[Proj Desc 1],0))))</f>
        <v/>
      </c>
      <c r="BH36" s="837" t="str">
        <f>IFERROR(IF(OR(C36="",L36="",Q36="",T36="",Y36="",AB36="",AE36=""),"",ROUND(AK36*INDEX(ENDUSEALL[Factor],MATCH(BG36,ENDUSEALL[End Use to Coincident Peak Demand Factors],0)),4)),"")</f>
        <v/>
      </c>
      <c r="BI36" s="874"/>
      <c r="BJ36" s="787" t="str">
        <f>IFERROR(ROUND(AK36*BK36,2),"")</f>
        <v/>
      </c>
      <c r="BK36" s="1067" t="str">
        <f>_xlfn.LET(_xlpm.ROWS,MATCH(BG36,ENDUSEALL[End Use to Coincident Peak Demand Factors],0),IFERROR(INDEX(IF(AND(ACTIVEBONUS_N = TRUE,INDEX(ENDUSEALL[Bonus Rate ($/kWh)],_xlpm.ROWS)&lt;&gt;""),ENDUSEALL[Bonus Rate ($/kWh)],ENDUSEALL[Rate ($/kWh)]),_xlpm.ROWS),""))</f>
        <v/>
      </c>
      <c r="BL36" s="829"/>
      <c r="BM36" s="829"/>
      <c r="BN36" s="1068" t="str">
        <f>_xlfn.LET(_xlpm.BONUS_RATE,INDEX(ENDUSEALL[Bonus Rate ($/kWh)],MATCH(BG36,ENDUSEALL[End Use to Coincident Peak Demand Factors],0)),_xlpm.BASE_RATE,INDEX(ENDUSEALL[Rate ($/kWh)],MATCH(BG36,ENDUSEALL[End Use to Coincident Peak Demand Factors],0)),IFERROR(IF(OR(ACTIVEBONUS_N &lt;&gt; TRUE,ISNUMBER(AN36) = FALSE,BS36 &lt;&gt; ""),"",AN36-(AK36*_xlpm.BASE_RATE)),""))</f>
        <v/>
      </c>
      <c r="BO36" s="1070" t="str">
        <f>IF(OR(C36="",L36="",Q36="",T36="",Y36="",AB36="",AE36=""),"",IF(BQ36&lt;&gt;"",SPILLOVERNUMBER,INDEX(CMEMOTOR_N[Measure Number],MATCH(C36,CMEMOTOR_N[Proj Desc 1],0))))</f>
        <v/>
      </c>
      <c r="BP36" s="815" t="str">
        <f>IFERROR(
IF(BS36="",
IF(AND(ROUND(AN36/AH36,2)=INCCOSTCAP,BJ36/AH36&gt;INCCOSTCAP),
"100% Incremental Cost",
IF(BK36&lt;KWHRATEMIN,
"kWh Incentive Rate Min",
IF(BK36&gt;KWHRATEMAX,
"kWh Incentive Rate Cap",
IF(AN36=BN36,
"Bonus Incentive",
"kWh Incentive"
)))),""),
"")</f>
        <v/>
      </c>
      <c r="BQ36" s="815" t="str">
        <f ca="1">IFERROR(IF(EXPIRATION&lt;&gt;"",PROJSTATEXP,
IF(BS36&gt;0,"",
IF(BD36-BE36&lt;=0,MEASURESAVE,
IF(OR(N02S03F14="",N02S03F14="Select Rate Code",N02S03F14=0),MEASURERATE,
IF(AND(ISNUMBER(SEARCH("Others",C36)),OR(BF36="",BG36="")),MEASURESUBMIT,
IF(AH36&lt;=0,MEASUREINCR,
IF(PAYPROJ_N&lt;PAYBACKREQ,PROJECTSTATPAYBACK,
IF(CBPROJ_N&lt;CBREQ,PROJECTSTATCB,"")))))))),MEASURESUBMIT)</f>
        <v>Submit for Review</v>
      </c>
      <c r="BR36" s="787" t="str">
        <f>IFERROR(IF(OR(C36="",L36="",Q36="",T36="",Y36="",AB36="",AE36=""),"",
ROUND(((1+ELOSS)*((AK36*INDEX(ELECCB[NPV AEC $/kWh],MATCH(BF36,ELECCB[Year Number],1)))+(BH36*INDEX(ELECCB[NPV ACC $/kW],MATCH(BF36,ELECCB[Year Number],1))))),2)),0)</f>
        <v/>
      </c>
      <c r="BS36" s="853"/>
    </row>
    <row r="37" spans="2:71" ht="15.95" customHeight="1">
      <c r="B37" s="800"/>
      <c r="C37" s="1091"/>
      <c r="D37" s="1092"/>
      <c r="E37" s="1092"/>
      <c r="F37" s="1092"/>
      <c r="G37" s="1092"/>
      <c r="H37" s="1092"/>
      <c r="I37" s="1092"/>
      <c r="J37" s="1092"/>
      <c r="K37" s="1092"/>
      <c r="L37" s="1081"/>
      <c r="M37" s="1081"/>
      <c r="N37" s="1081"/>
      <c r="O37" s="1081"/>
      <c r="P37" s="1119"/>
      <c r="Q37" s="1117"/>
      <c r="R37" s="1078"/>
      <c r="S37" s="1078"/>
      <c r="T37" s="1081"/>
      <c r="U37" s="1081"/>
      <c r="V37" s="1081"/>
      <c r="W37" s="1081"/>
      <c r="X37" s="1119"/>
      <c r="Y37" s="1117"/>
      <c r="Z37" s="1078"/>
      <c r="AA37" s="1078"/>
      <c r="AB37" s="1093"/>
      <c r="AC37" s="1093"/>
      <c r="AD37" s="1094"/>
      <c r="AE37" s="1095"/>
      <c r="AF37" s="1096"/>
      <c r="AG37" s="1096"/>
      <c r="AH37" s="1105"/>
      <c r="AI37" s="1105"/>
      <c r="AJ37" s="1106"/>
      <c r="AK37" s="832"/>
      <c r="AL37" s="832"/>
      <c r="AM37" s="832"/>
      <c r="AN37" s="1100"/>
      <c r="AO37" s="1101"/>
      <c r="AP37" s="1101"/>
      <c r="AQ37" s="1102"/>
      <c r="AY37" s="836"/>
      <c r="AZ37" s="836"/>
      <c r="BA37" s="816"/>
      <c r="BB37" s="850"/>
      <c r="BC37" s="850"/>
      <c r="BD37" s="837"/>
      <c r="BE37" s="838"/>
      <c r="BF37" s="844"/>
      <c r="BG37" s="846"/>
      <c r="BH37" s="838"/>
      <c r="BI37" s="875"/>
      <c r="BJ37" s="788"/>
      <c r="BK37" s="787"/>
      <c r="BL37" s="830"/>
      <c r="BM37" s="830"/>
      <c r="BN37" s="1069"/>
      <c r="BO37" s="1071"/>
      <c r="BP37" s="816"/>
      <c r="BQ37" s="816"/>
      <c r="BR37" s="788"/>
      <c r="BS37" s="854"/>
    </row>
    <row r="38" spans="2:71" ht="15.95" customHeight="1">
      <c r="BE38" s="31"/>
    </row>
    <row r="39" spans="2:71" ht="15.95" hidden="1" customHeight="1">
      <c r="BE39" s="31"/>
    </row>
    <row r="40" spans="2:71" ht="15.95" hidden="1" customHeight="1">
      <c r="BE40" s="31"/>
    </row>
    <row r="41" spans="2:71" ht="15.95" hidden="1" customHeight="1">
      <c r="BE41" s="31"/>
    </row>
    <row r="42" spans="2:71" ht="15.95" hidden="1" customHeight="1">
      <c r="BE42" s="31"/>
    </row>
    <row r="43" spans="2:71" ht="15.95" hidden="1" customHeight="1">
      <c r="BE43" s="31"/>
    </row>
    <row r="44" spans="2:71" ht="15.95" hidden="1" customHeight="1">
      <c r="BE44" s="31"/>
    </row>
    <row r="45" spans="2:71" ht="15.95" hidden="1" customHeight="1">
      <c r="BE45" s="31"/>
    </row>
    <row r="46" spans="2:71" ht="15.95" hidden="1" customHeight="1">
      <c r="BE46" s="31"/>
    </row>
    <row r="47" spans="2:71" ht="15.95" hidden="1" customHeight="1">
      <c r="BE47" s="31"/>
    </row>
    <row r="48" spans="2:71" ht="15.95" hidden="1" customHeight="1">
      <c r="AZ48" s="25"/>
      <c r="BA48" s="31"/>
      <c r="BB48" s="31"/>
      <c r="BC48" s="31"/>
      <c r="BD48" s="31"/>
      <c r="BE48" s="31"/>
    </row>
    <row r="49" spans="52:57" ht="15.95" hidden="1" customHeight="1">
      <c r="AZ49" s="25"/>
      <c r="BA49" s="31"/>
      <c r="BB49" s="31"/>
      <c r="BC49" s="31"/>
      <c r="BD49" s="31"/>
      <c r="BE49" s="31"/>
    </row>
    <row r="50" spans="52:57" ht="15.95" hidden="1" customHeight="1">
      <c r="AZ50" s="25"/>
      <c r="BA50" s="31"/>
      <c r="BB50" s="31"/>
      <c r="BC50" s="31"/>
      <c r="BD50" s="31"/>
      <c r="BE50" s="31"/>
    </row>
    <row r="51" spans="52:57" ht="15.95" hidden="1" customHeight="1">
      <c r="AZ51" s="25"/>
      <c r="BA51" s="31"/>
      <c r="BB51" s="31"/>
      <c r="BC51" s="31"/>
      <c r="BD51" s="31"/>
      <c r="BE51" s="31"/>
    </row>
    <row r="52" spans="52:57" ht="15.95" hidden="1" customHeight="1">
      <c r="AZ52" s="25"/>
      <c r="BA52" s="31"/>
      <c r="BB52" s="31"/>
      <c r="BC52" s="31"/>
      <c r="BD52" s="31"/>
      <c r="BE52" s="31"/>
    </row>
    <row r="53" spans="52:57" ht="15.95" hidden="1" customHeight="1">
      <c r="AZ53" s="25"/>
      <c r="BA53" s="31"/>
      <c r="BB53" s="31"/>
      <c r="BC53" s="31"/>
      <c r="BD53" s="31"/>
      <c r="BE53" s="31"/>
    </row>
    <row r="54" spans="52:57" ht="15.95" hidden="1" customHeight="1">
      <c r="AZ54" s="25"/>
      <c r="BA54" s="31"/>
      <c r="BB54" s="31"/>
      <c r="BC54" s="31"/>
      <c r="BD54" s="31"/>
      <c r="BE54" s="31"/>
    </row>
    <row r="55" spans="52:57" ht="15.95" hidden="1" customHeight="1">
      <c r="AZ55" s="25"/>
      <c r="BA55" s="31"/>
      <c r="BB55" s="31"/>
      <c r="BC55" s="31"/>
      <c r="BD55" s="31"/>
      <c r="BE55" s="31"/>
    </row>
    <row r="56" spans="52:57" ht="15.95" hidden="1" customHeight="1">
      <c r="AZ56" s="25"/>
      <c r="BA56" s="31"/>
      <c r="BB56" s="31"/>
      <c r="BC56" s="31"/>
      <c r="BD56" s="31"/>
      <c r="BE56" s="31"/>
    </row>
    <row r="57" spans="52:57" ht="15.95" hidden="1" customHeight="1">
      <c r="AZ57" s="25"/>
      <c r="BA57" s="31"/>
      <c r="BB57" s="31"/>
      <c r="BC57" s="31"/>
      <c r="BD57" s="31"/>
      <c r="BE57" s="31"/>
    </row>
    <row r="58" spans="52:57" ht="15.95" hidden="1" customHeight="1">
      <c r="AZ58" s="25"/>
      <c r="BA58" s="31"/>
      <c r="BB58" s="31"/>
      <c r="BC58" s="31"/>
      <c r="BD58" s="31"/>
      <c r="BE58" s="31"/>
    </row>
    <row r="59" spans="52:57" ht="15.95" hidden="1" customHeight="1">
      <c r="AZ59" s="25"/>
      <c r="BA59" s="31"/>
      <c r="BB59" s="31"/>
      <c r="BC59" s="31"/>
      <c r="BD59" s="31"/>
      <c r="BE59" s="31"/>
    </row>
    <row r="60" spans="52:57" ht="15.95" hidden="1" customHeight="1">
      <c r="AZ60" s="25"/>
      <c r="BA60" s="31"/>
      <c r="BB60" s="31"/>
      <c r="BC60" s="31"/>
      <c r="BD60" s="31"/>
      <c r="BE60" s="31"/>
    </row>
    <row r="61" spans="52:57" ht="15.95" hidden="1" customHeight="1">
      <c r="AZ61" s="25"/>
      <c r="BA61" s="31"/>
      <c r="BB61" s="31"/>
      <c r="BC61" s="31"/>
      <c r="BD61" s="31"/>
      <c r="BE61" s="31"/>
    </row>
    <row r="62" spans="52:57" ht="15.95" hidden="1" customHeight="1">
      <c r="AZ62" s="25"/>
      <c r="BA62" s="31"/>
      <c r="BB62" s="31"/>
      <c r="BC62" s="31"/>
      <c r="BD62" s="31"/>
      <c r="BE62" s="31"/>
    </row>
    <row r="63" spans="52:57" ht="15.95" hidden="1" customHeight="1">
      <c r="AZ63" s="25"/>
      <c r="BA63" s="31"/>
      <c r="BB63" s="31"/>
      <c r="BC63" s="31"/>
      <c r="BD63" s="31"/>
      <c r="BE63" s="31"/>
    </row>
    <row r="64" spans="52:57" ht="15.95" hidden="1" customHeight="1">
      <c r="AZ64" s="25"/>
      <c r="BA64" s="31"/>
      <c r="BB64" s="31"/>
      <c r="BC64" s="31"/>
      <c r="BD64" s="31"/>
      <c r="BE64" s="31"/>
    </row>
    <row r="65" spans="52:57" ht="15.95" hidden="1" customHeight="1">
      <c r="AZ65" s="25"/>
      <c r="BA65" s="31"/>
      <c r="BB65" s="31"/>
      <c r="BC65" s="31"/>
      <c r="BD65" s="31"/>
      <c r="BE65" s="31"/>
    </row>
    <row r="66" spans="52:57" ht="15.95" hidden="1" customHeight="1">
      <c r="AZ66" s="25"/>
      <c r="BA66" s="31"/>
      <c r="BB66" s="31"/>
      <c r="BC66" s="31"/>
      <c r="BD66" s="31"/>
      <c r="BE66" s="31"/>
    </row>
    <row r="67" spans="52:57" ht="15.95" hidden="1" customHeight="1">
      <c r="AZ67" s="25"/>
      <c r="BA67" s="31"/>
      <c r="BB67" s="31"/>
      <c r="BC67" s="31"/>
      <c r="BD67" s="31"/>
      <c r="BE67" s="31"/>
    </row>
    <row r="68" spans="52:57" ht="15.95" hidden="1" customHeight="1">
      <c r="AZ68" s="25"/>
      <c r="BA68" s="31"/>
      <c r="BB68" s="31"/>
      <c r="BC68" s="31"/>
      <c r="BD68" s="31"/>
      <c r="BE68" s="31"/>
    </row>
    <row r="69" spans="52:57" ht="15.95" hidden="1" customHeight="1">
      <c r="AZ69" s="25"/>
      <c r="BA69" s="31"/>
      <c r="BB69" s="31"/>
      <c r="BC69" s="31"/>
      <c r="BD69" s="31"/>
      <c r="BE69" s="31"/>
    </row>
    <row r="70" spans="52:57" ht="15.95" hidden="1" customHeight="1">
      <c r="AZ70" s="25"/>
      <c r="BA70" s="31"/>
      <c r="BB70" s="31"/>
      <c r="BC70" s="31"/>
      <c r="BD70" s="31"/>
      <c r="BE70" s="31"/>
    </row>
    <row r="71" spans="52:57" ht="15.95" hidden="1" customHeight="1">
      <c r="AZ71" s="25"/>
      <c r="BA71" s="31"/>
      <c r="BB71" s="31"/>
      <c r="BC71" s="31"/>
      <c r="BD71" s="31"/>
      <c r="BE71" s="31"/>
    </row>
    <row r="72" spans="52:57" ht="15.95" hidden="1" customHeight="1">
      <c r="AZ72" s="25"/>
      <c r="BA72" s="31"/>
      <c r="BB72" s="31"/>
      <c r="BC72" s="31"/>
      <c r="BD72" s="31"/>
      <c r="BE72" s="31"/>
    </row>
    <row r="73" spans="52:57" ht="15.95" hidden="1" customHeight="1">
      <c r="AZ73" s="25"/>
      <c r="BA73" s="31"/>
      <c r="BB73" s="31"/>
      <c r="BC73" s="31"/>
      <c r="BD73" s="31"/>
      <c r="BE73" s="31"/>
    </row>
    <row r="74" spans="52:57" ht="15.95" hidden="1" customHeight="1">
      <c r="AZ74" s="25"/>
      <c r="BA74" s="31"/>
      <c r="BB74" s="31"/>
      <c r="BC74" s="31"/>
      <c r="BD74" s="31"/>
      <c r="BE74" s="31"/>
    </row>
    <row r="75" spans="52:57" ht="15.95" hidden="1" customHeight="1">
      <c r="AZ75" s="25"/>
      <c r="BA75" s="31"/>
      <c r="BB75" s="31"/>
      <c r="BC75" s="31"/>
      <c r="BD75" s="31"/>
      <c r="BE75" s="31"/>
    </row>
    <row r="76" spans="52:57" ht="15.95" hidden="1" customHeight="1">
      <c r="AZ76" s="25"/>
      <c r="BA76" s="31"/>
      <c r="BB76" s="31"/>
      <c r="BC76" s="31"/>
      <c r="BD76" s="31"/>
      <c r="BE76" s="31"/>
    </row>
    <row r="77" spans="52:57" ht="15.95" hidden="1" customHeight="1">
      <c r="AZ77" s="25"/>
      <c r="BA77" s="31"/>
      <c r="BB77" s="31"/>
      <c r="BC77" s="31"/>
      <c r="BD77" s="31"/>
      <c r="BE77" s="31"/>
    </row>
    <row r="78" spans="52:57" ht="15.95" hidden="1" customHeight="1">
      <c r="AZ78" s="25"/>
      <c r="BA78" s="31"/>
      <c r="BB78" s="31"/>
      <c r="BC78" s="31"/>
      <c r="BD78" s="31"/>
      <c r="BE78" s="31"/>
    </row>
    <row r="79" spans="52:57" ht="15.95" hidden="1" customHeight="1">
      <c r="AZ79" s="25"/>
      <c r="BA79" s="31"/>
      <c r="BB79" s="31"/>
      <c r="BC79" s="31"/>
      <c r="BD79" s="31"/>
      <c r="BE79" s="31"/>
    </row>
    <row r="80" spans="52:57" ht="15.95" hidden="1" customHeight="1">
      <c r="AZ80" s="25"/>
      <c r="BA80" s="31"/>
      <c r="BB80" s="31"/>
      <c r="BC80" s="31"/>
      <c r="BD80" s="31"/>
      <c r="BE80" s="31"/>
    </row>
    <row r="81" spans="52:57" ht="15.95" hidden="1" customHeight="1">
      <c r="AZ81" s="25"/>
      <c r="BA81" s="31"/>
      <c r="BB81" s="31"/>
      <c r="BC81" s="31"/>
      <c r="BD81" s="31"/>
      <c r="BE81" s="31"/>
    </row>
    <row r="82" spans="52:57" ht="15.95" hidden="1" customHeight="1">
      <c r="AZ82" s="25"/>
      <c r="BA82" s="31"/>
      <c r="BB82" s="31"/>
      <c r="BC82" s="31"/>
      <c r="BD82" s="31"/>
      <c r="BE82" s="31"/>
    </row>
    <row r="83" spans="52:57" ht="15.95" hidden="1" customHeight="1">
      <c r="AZ83" s="25"/>
      <c r="BA83" s="31"/>
      <c r="BB83" s="31"/>
      <c r="BC83" s="31"/>
      <c r="BD83" s="31"/>
      <c r="BE83" s="31"/>
    </row>
    <row r="84" spans="52:57" ht="15.95" hidden="1" customHeight="1">
      <c r="AZ84" s="25"/>
      <c r="BA84" s="31"/>
      <c r="BB84" s="31"/>
      <c r="BC84" s="31"/>
      <c r="BD84" s="31"/>
      <c r="BE84" s="31"/>
    </row>
    <row r="85" spans="52:57" ht="15.95" hidden="1" customHeight="1">
      <c r="AZ85" s="25"/>
      <c r="BA85" s="31"/>
      <c r="BB85" s="31"/>
      <c r="BC85" s="31"/>
      <c r="BD85" s="31"/>
      <c r="BE85" s="31"/>
    </row>
    <row r="86" spans="52:57" ht="15.95" hidden="1" customHeight="1">
      <c r="AZ86" s="25"/>
      <c r="BA86" s="31"/>
      <c r="BB86" s="31"/>
      <c r="BC86" s="31"/>
      <c r="BD86" s="31"/>
      <c r="BE86" s="31"/>
    </row>
    <row r="87" spans="52:57" ht="15.95" hidden="1" customHeight="1">
      <c r="AZ87" s="25"/>
      <c r="BA87" s="31"/>
      <c r="BB87" s="31"/>
      <c r="BC87" s="31"/>
      <c r="BD87" s="31"/>
      <c r="BE87" s="31"/>
    </row>
    <row r="88" spans="52:57" ht="15.95" hidden="1" customHeight="1">
      <c r="AZ88" s="25"/>
      <c r="BA88" s="31"/>
      <c r="BB88" s="31"/>
      <c r="BC88" s="31"/>
      <c r="BD88" s="31"/>
      <c r="BE88" s="31"/>
    </row>
    <row r="89" spans="52:57" ht="15.95" hidden="1" customHeight="1">
      <c r="AZ89" s="25"/>
      <c r="BA89" s="31"/>
      <c r="BB89" s="31"/>
      <c r="BC89" s="31"/>
      <c r="BD89" s="31"/>
      <c r="BE89" s="31"/>
    </row>
    <row r="90" spans="52:57" ht="15.95" hidden="1" customHeight="1">
      <c r="AZ90" s="25"/>
      <c r="BA90" s="31"/>
      <c r="BB90" s="31"/>
      <c r="BC90" s="31"/>
      <c r="BD90" s="31"/>
      <c r="BE90" s="31"/>
    </row>
    <row r="91" spans="52:57" ht="15.95" hidden="1" customHeight="1">
      <c r="AZ91" s="25"/>
      <c r="BA91" s="31"/>
      <c r="BB91" s="31"/>
      <c r="BC91" s="31"/>
      <c r="BD91" s="31"/>
      <c r="BE91" s="31"/>
    </row>
    <row r="92" spans="52:57" ht="15.95" hidden="1" customHeight="1">
      <c r="AZ92" s="25"/>
      <c r="BA92" s="31"/>
      <c r="BB92" s="31"/>
      <c r="BC92" s="31"/>
      <c r="BD92" s="31"/>
      <c r="BE92" s="31"/>
    </row>
    <row r="93" spans="52:57" ht="15.95" hidden="1" customHeight="1">
      <c r="AZ93" s="25"/>
      <c r="BA93" s="31"/>
      <c r="BB93" s="31"/>
      <c r="BC93" s="31"/>
      <c r="BD93" s="31"/>
      <c r="BE93" s="31"/>
    </row>
    <row r="94" spans="52:57" ht="15.95" hidden="1" customHeight="1">
      <c r="AZ94" s="25"/>
      <c r="BA94" s="31"/>
      <c r="BB94" s="31"/>
      <c r="BC94" s="31"/>
      <c r="BD94" s="31"/>
      <c r="BE94" s="31"/>
    </row>
    <row r="95" spans="52:57" ht="15.95" hidden="1" customHeight="1">
      <c r="AZ95" s="25"/>
      <c r="BA95" s="31"/>
      <c r="BB95" s="31"/>
      <c r="BC95" s="31"/>
      <c r="BD95" s="31"/>
      <c r="BE95" s="31"/>
    </row>
    <row r="96" spans="52:57" ht="15.95" hidden="1" customHeight="1">
      <c r="AZ96" s="25"/>
      <c r="BA96" s="31"/>
      <c r="BB96" s="31"/>
      <c r="BC96" s="31"/>
      <c r="BD96" s="31"/>
      <c r="BE96" s="31"/>
    </row>
    <row r="97" spans="52:57" ht="15.95" hidden="1" customHeight="1">
      <c r="AZ97" s="25"/>
      <c r="BA97" s="31"/>
      <c r="BB97" s="31"/>
      <c r="BC97" s="31"/>
      <c r="BD97" s="31"/>
      <c r="BE97" s="31"/>
    </row>
    <row r="98" spans="52:57" ht="15.95" hidden="1" customHeight="1">
      <c r="AZ98" s="25"/>
      <c r="BA98" s="31"/>
      <c r="BB98" s="31"/>
      <c r="BC98" s="31"/>
      <c r="BD98" s="31"/>
      <c r="BE98" s="31"/>
    </row>
    <row r="99" spans="52:57" ht="15.95" hidden="1" customHeight="1">
      <c r="AZ99" s="25"/>
      <c r="BA99" s="31"/>
      <c r="BB99" s="31"/>
      <c r="BC99" s="31"/>
      <c r="BD99" s="31"/>
      <c r="BE99" s="31"/>
    </row>
    <row r="100" spans="52:57" ht="15.95" hidden="1" customHeight="1">
      <c r="AZ100" s="25"/>
      <c r="BA100" s="31"/>
      <c r="BB100" s="31"/>
      <c r="BC100" s="31"/>
      <c r="BD100" s="31"/>
      <c r="BE100" s="31"/>
    </row>
    <row r="101" spans="52:57" ht="15.95" hidden="1" customHeight="1">
      <c r="AZ101" s="25"/>
      <c r="BA101" s="31"/>
      <c r="BB101" s="31"/>
      <c r="BC101" s="31"/>
      <c r="BD101" s="31"/>
      <c r="BE101" s="31"/>
    </row>
    <row r="102" spans="52:57" ht="15.95" hidden="1" customHeight="1">
      <c r="AZ102" s="25"/>
      <c r="BA102" s="31"/>
      <c r="BB102" s="31"/>
      <c r="BC102" s="31"/>
      <c r="BD102" s="31"/>
      <c r="BE102" s="31"/>
    </row>
    <row r="103" spans="52:57" ht="15.95" hidden="1" customHeight="1">
      <c r="AZ103" s="25"/>
      <c r="BA103" s="31"/>
      <c r="BB103" s="31"/>
      <c r="BC103" s="31"/>
      <c r="BD103" s="31"/>
      <c r="BE103" s="31"/>
    </row>
    <row r="104" spans="52:57" ht="15.95" hidden="1" customHeight="1">
      <c r="AZ104" s="25"/>
      <c r="BA104" s="31"/>
      <c r="BB104" s="31"/>
      <c r="BC104" s="31"/>
      <c r="BD104" s="31"/>
      <c r="BE104" s="31"/>
    </row>
    <row r="105" spans="52:57" ht="15.95" hidden="1" customHeight="1">
      <c r="AZ105" s="25"/>
      <c r="BA105" s="31"/>
      <c r="BB105" s="31"/>
      <c r="BC105" s="31"/>
      <c r="BD105" s="31"/>
      <c r="BE105" s="31"/>
    </row>
    <row r="106" spans="52:57" ht="15.95" hidden="1" customHeight="1">
      <c r="AZ106" s="25"/>
      <c r="BA106" s="31"/>
      <c r="BB106" s="31"/>
      <c r="BC106" s="31"/>
      <c r="BD106" s="31"/>
      <c r="BE106" s="31"/>
    </row>
    <row r="107" spans="52:57" ht="15.95" hidden="1" customHeight="1">
      <c r="AZ107" s="25"/>
      <c r="BA107" s="31"/>
      <c r="BB107" s="31"/>
      <c r="BC107" s="31"/>
      <c r="BD107" s="31"/>
      <c r="BE107" s="31"/>
    </row>
    <row r="108" spans="52:57" ht="15.95" hidden="1" customHeight="1">
      <c r="AZ108" s="25"/>
      <c r="BA108" s="31"/>
      <c r="BB108" s="31"/>
      <c r="BC108" s="31"/>
      <c r="BD108" s="31"/>
      <c r="BE108" s="31"/>
    </row>
    <row r="109" spans="52:57" ht="15.95" hidden="1" customHeight="1">
      <c r="AZ109" s="25"/>
      <c r="BA109" s="31"/>
      <c r="BB109" s="31"/>
      <c r="BC109" s="31"/>
      <c r="BD109" s="31"/>
      <c r="BE109" s="31"/>
    </row>
    <row r="110" spans="52:57" ht="15.95" hidden="1" customHeight="1">
      <c r="AZ110" s="25"/>
      <c r="BA110" s="31"/>
      <c r="BB110" s="31"/>
      <c r="BC110" s="31"/>
      <c r="BD110" s="31"/>
      <c r="BE110" s="31"/>
    </row>
    <row r="111" spans="52:57" ht="15.95" hidden="1" customHeight="1">
      <c r="AZ111" s="25"/>
      <c r="BA111" s="31"/>
      <c r="BB111" s="31"/>
      <c r="BC111" s="31"/>
      <c r="BD111" s="31"/>
      <c r="BE111" s="31"/>
    </row>
    <row r="112" spans="52:57" ht="15.95" hidden="1" customHeight="1">
      <c r="AZ112" s="25"/>
      <c r="BA112" s="31"/>
      <c r="BB112" s="31"/>
      <c r="BC112" s="31"/>
      <c r="BD112" s="31"/>
      <c r="BE112" s="31"/>
    </row>
    <row r="113" spans="52:57" ht="15.95" hidden="1" customHeight="1">
      <c r="AZ113" s="25"/>
      <c r="BA113" s="31"/>
      <c r="BB113" s="31"/>
      <c r="BC113" s="31"/>
      <c r="BD113" s="31"/>
      <c r="BE113" s="31"/>
    </row>
    <row r="114" spans="52:57" ht="15.95" hidden="1" customHeight="1">
      <c r="AZ114" s="25"/>
      <c r="BA114" s="31"/>
      <c r="BB114" s="31"/>
      <c r="BC114" s="31"/>
      <c r="BD114" s="31"/>
      <c r="BE114" s="31"/>
    </row>
    <row r="115" spans="52:57" ht="15.95" hidden="1" customHeight="1">
      <c r="AZ115" s="25"/>
      <c r="BA115" s="31"/>
      <c r="BB115" s="31"/>
      <c r="BC115" s="31"/>
      <c r="BD115" s="31"/>
      <c r="BE115" s="31"/>
    </row>
    <row r="116" spans="52:57" ht="15.95" hidden="1" customHeight="1">
      <c r="AZ116" s="25"/>
      <c r="BA116" s="31"/>
      <c r="BB116" s="31"/>
      <c r="BC116" s="31"/>
      <c r="BD116" s="31"/>
      <c r="BE116" s="31"/>
    </row>
    <row r="117" spans="52:57" ht="15.95" hidden="1" customHeight="1">
      <c r="AZ117" s="25"/>
      <c r="BA117" s="31"/>
      <c r="BB117" s="31"/>
      <c r="BC117" s="31"/>
      <c r="BD117" s="31"/>
      <c r="BE117" s="31"/>
    </row>
    <row r="118" spans="52:57" ht="15.95" hidden="1" customHeight="1">
      <c r="AZ118" s="25"/>
      <c r="BA118" s="31"/>
      <c r="BB118" s="31"/>
      <c r="BC118" s="31"/>
      <c r="BD118" s="31"/>
      <c r="BE118" s="31"/>
    </row>
    <row r="119" spans="52:57" ht="15.95" hidden="1" customHeight="1">
      <c r="AZ119" s="25"/>
      <c r="BA119" s="31"/>
      <c r="BB119" s="31"/>
      <c r="BC119" s="31"/>
      <c r="BD119" s="31"/>
      <c r="BE119" s="31"/>
    </row>
    <row r="120" spans="52:57" ht="15.95" hidden="1" customHeight="1">
      <c r="AZ120" s="25"/>
      <c r="BA120" s="31"/>
      <c r="BB120" s="31"/>
      <c r="BC120" s="31"/>
      <c r="BD120" s="31"/>
      <c r="BE120" s="31"/>
    </row>
    <row r="121" spans="52:57" ht="15.95" hidden="1" customHeight="1">
      <c r="AZ121" s="25"/>
      <c r="BA121" s="31"/>
      <c r="BB121" s="31"/>
      <c r="BC121" s="31"/>
      <c r="BD121" s="31"/>
      <c r="BE121" s="31"/>
    </row>
    <row r="122" spans="52:57" ht="15.95" hidden="1" customHeight="1">
      <c r="AZ122" s="25"/>
      <c r="BA122" s="31"/>
      <c r="BB122" s="31"/>
      <c r="BC122" s="31"/>
      <c r="BD122" s="31"/>
      <c r="BE122" s="31"/>
    </row>
    <row r="123" spans="52:57" ht="15.95" hidden="1" customHeight="1">
      <c r="AZ123" s="25"/>
      <c r="BA123" s="31"/>
      <c r="BB123" s="31"/>
      <c r="BC123" s="31"/>
      <c r="BD123" s="31"/>
      <c r="BE123" s="31"/>
    </row>
    <row r="124" spans="52:57" ht="15.95" hidden="1" customHeight="1">
      <c r="AZ124" s="25"/>
      <c r="BA124" s="31"/>
      <c r="BB124" s="31"/>
      <c r="BC124" s="31"/>
      <c r="BD124" s="31"/>
      <c r="BE124" s="31"/>
    </row>
    <row r="125" spans="52:57" ht="15.95" hidden="1" customHeight="1">
      <c r="AZ125" s="25"/>
      <c r="BA125" s="31"/>
      <c r="BB125" s="31"/>
      <c r="BC125" s="31"/>
      <c r="BD125" s="31"/>
      <c r="BE125" s="31"/>
    </row>
    <row r="126" spans="52:57" ht="15.95" hidden="1" customHeight="1">
      <c r="AZ126" s="25"/>
      <c r="BA126" s="31"/>
      <c r="BB126" s="31"/>
      <c r="BC126" s="31"/>
      <c r="BD126" s="31"/>
      <c r="BE126" s="31"/>
    </row>
    <row r="127" spans="52:57" ht="15.95" hidden="1" customHeight="1">
      <c r="AZ127" s="25"/>
      <c r="BA127" s="31"/>
      <c r="BB127" s="31"/>
      <c r="BC127" s="31"/>
      <c r="BD127" s="31"/>
      <c r="BE127" s="31"/>
    </row>
    <row r="128" spans="52:57" ht="15.95" hidden="1" customHeight="1">
      <c r="AZ128" s="25"/>
      <c r="BA128" s="31"/>
      <c r="BB128" s="31"/>
      <c r="BC128" s="31"/>
      <c r="BD128" s="31"/>
      <c r="BE128" s="31"/>
    </row>
    <row r="129" spans="52:57" ht="15.95" hidden="1" customHeight="1">
      <c r="AZ129" s="25"/>
      <c r="BA129" s="31"/>
      <c r="BB129" s="31"/>
      <c r="BC129" s="31"/>
      <c r="BD129" s="31"/>
      <c r="BE129" s="31"/>
    </row>
    <row r="130" spans="52:57" ht="15.95" hidden="1" customHeight="1">
      <c r="AZ130" s="25"/>
      <c r="BA130" s="31"/>
      <c r="BB130" s="31"/>
      <c r="BC130" s="31"/>
      <c r="BD130" s="31"/>
      <c r="BE130" s="31"/>
    </row>
    <row r="131" spans="52:57" ht="15.95" hidden="1" customHeight="1">
      <c r="AZ131" s="25"/>
      <c r="BA131" s="31"/>
      <c r="BB131" s="31"/>
      <c r="BC131" s="31"/>
      <c r="BD131" s="31"/>
      <c r="BE131" s="31"/>
    </row>
    <row r="132" spans="52:57" ht="15.95" hidden="1" customHeight="1">
      <c r="AZ132" s="25"/>
      <c r="BA132" s="31"/>
      <c r="BB132" s="31"/>
      <c r="BC132" s="31"/>
      <c r="BD132" s="31"/>
      <c r="BE132" s="31"/>
    </row>
    <row r="133" spans="52:57" ht="15.95" hidden="1" customHeight="1">
      <c r="AZ133" s="25"/>
      <c r="BA133" s="31"/>
      <c r="BB133" s="31"/>
      <c r="BC133" s="31"/>
      <c r="BD133" s="31"/>
      <c r="BE133" s="31"/>
    </row>
    <row r="134" spans="52:57" ht="15.95" hidden="1" customHeight="1">
      <c r="AZ134" s="25"/>
      <c r="BA134" s="31"/>
      <c r="BB134" s="31"/>
      <c r="BC134" s="31"/>
      <c r="BD134" s="31"/>
      <c r="BE134" s="31"/>
    </row>
    <row r="135" spans="52:57" ht="15.95" hidden="1" customHeight="1">
      <c r="AZ135" s="25"/>
      <c r="BA135" s="31"/>
      <c r="BB135" s="31"/>
      <c r="BC135" s="31"/>
      <c r="BD135" s="31"/>
      <c r="BE135" s="31"/>
    </row>
    <row r="136" spans="52:57" ht="15.95" hidden="1" customHeight="1">
      <c r="AZ136" s="25"/>
      <c r="BA136" s="31"/>
      <c r="BB136" s="31"/>
      <c r="BC136" s="31"/>
      <c r="BD136" s="31"/>
      <c r="BE136" s="31"/>
    </row>
    <row r="137" spans="52:57" ht="15.95" hidden="1" customHeight="1">
      <c r="AZ137" s="25"/>
      <c r="BA137" s="31"/>
      <c r="BB137" s="31"/>
      <c r="BC137" s="31"/>
      <c r="BD137" s="31"/>
      <c r="BE137" s="31"/>
    </row>
    <row r="138" spans="52:57" ht="15.95" hidden="1" customHeight="1">
      <c r="AZ138" s="25"/>
      <c r="BA138" s="31"/>
      <c r="BB138" s="31"/>
      <c r="BC138" s="31"/>
      <c r="BD138" s="31"/>
      <c r="BE138" s="31"/>
    </row>
    <row r="139" spans="52:57" ht="15.95" hidden="1" customHeight="1">
      <c r="AZ139" s="25"/>
      <c r="BA139" s="31"/>
      <c r="BB139" s="31"/>
      <c r="BC139" s="31"/>
      <c r="BD139" s="31"/>
      <c r="BE139" s="31"/>
    </row>
    <row r="140" spans="52:57" ht="15.95" hidden="1" customHeight="1">
      <c r="AZ140" s="25"/>
      <c r="BA140" s="31"/>
      <c r="BB140" s="31"/>
      <c r="BC140" s="31"/>
      <c r="BD140" s="31"/>
      <c r="BE140" s="31"/>
    </row>
    <row r="141" spans="52:57" ht="15.95" hidden="1" customHeight="1">
      <c r="AZ141" s="25"/>
      <c r="BA141" s="31"/>
      <c r="BB141" s="31"/>
      <c r="BC141" s="31"/>
      <c r="BD141" s="31"/>
      <c r="BE141" s="31"/>
    </row>
    <row r="142" spans="52:57" ht="15.95" hidden="1" customHeight="1">
      <c r="AZ142" s="25"/>
      <c r="BA142" s="31"/>
      <c r="BB142" s="31"/>
      <c r="BC142" s="31"/>
      <c r="BD142" s="31"/>
      <c r="BE142" s="31"/>
    </row>
    <row r="143" spans="52:57" ht="15.95" hidden="1" customHeight="1">
      <c r="AZ143" s="25"/>
      <c r="BA143" s="31"/>
      <c r="BB143" s="31"/>
      <c r="BC143" s="31"/>
      <c r="BD143" s="31"/>
      <c r="BE143" s="31"/>
    </row>
    <row r="144" spans="52:57" ht="15.95" hidden="1" customHeight="1">
      <c r="AZ144" s="25"/>
      <c r="BA144" s="31"/>
      <c r="BB144" s="31"/>
      <c r="BC144" s="31"/>
      <c r="BD144" s="31"/>
      <c r="BE144" s="31"/>
    </row>
    <row r="145" spans="52:57" ht="15.95" hidden="1" customHeight="1">
      <c r="AZ145" s="25"/>
      <c r="BA145" s="31"/>
      <c r="BB145" s="31"/>
      <c r="BC145" s="31"/>
      <c r="BD145" s="31"/>
      <c r="BE145" s="31"/>
    </row>
    <row r="146" spans="52:57" ht="15.95" hidden="1" customHeight="1">
      <c r="AZ146" s="25"/>
      <c r="BA146" s="31"/>
      <c r="BB146" s="31"/>
      <c r="BC146" s="31"/>
      <c r="BD146" s="31"/>
      <c r="BE146" s="31"/>
    </row>
    <row r="147" spans="52:57" ht="15.95" hidden="1" customHeight="1">
      <c r="AZ147" s="25"/>
      <c r="BA147" s="31"/>
      <c r="BB147" s="31"/>
      <c r="BC147" s="31"/>
      <c r="BD147" s="31"/>
      <c r="BE147" s="31"/>
    </row>
    <row r="148" spans="52:57" ht="15.95" hidden="1" customHeight="1">
      <c r="AZ148" s="25"/>
      <c r="BA148" s="31"/>
      <c r="BB148" s="31"/>
      <c r="BC148" s="31"/>
      <c r="BD148" s="31"/>
      <c r="BE148" s="31"/>
    </row>
    <row r="149" spans="52:57" ht="15.95" hidden="1" customHeight="1">
      <c r="AZ149" s="25"/>
      <c r="BA149" s="31"/>
      <c r="BB149" s="31"/>
      <c r="BC149" s="31"/>
      <c r="BD149" s="31"/>
      <c r="BE149" s="31"/>
    </row>
    <row r="150" spans="52:57" ht="15.95" hidden="1" customHeight="1">
      <c r="AZ150" s="25"/>
      <c r="BA150" s="31"/>
      <c r="BB150" s="31"/>
      <c r="BC150" s="31"/>
      <c r="BD150" s="31"/>
      <c r="BE150" s="31"/>
    </row>
    <row r="151" spans="52:57" ht="15.95" hidden="1" customHeight="1">
      <c r="AZ151" s="25"/>
      <c r="BA151" s="31"/>
      <c r="BB151" s="31"/>
      <c r="BC151" s="31"/>
      <c r="BD151" s="31"/>
      <c r="BE151" s="31"/>
    </row>
    <row r="152" spans="52:57" ht="15.95" hidden="1" customHeight="1">
      <c r="AZ152" s="25"/>
      <c r="BA152" s="31"/>
      <c r="BB152" s="31"/>
      <c r="BC152" s="31"/>
      <c r="BD152" s="31"/>
      <c r="BE152" s="31"/>
    </row>
    <row r="153" spans="52:57" ht="15.95" hidden="1" customHeight="1">
      <c r="AZ153" s="25"/>
      <c r="BA153" s="31"/>
      <c r="BB153" s="31"/>
      <c r="BC153" s="31"/>
      <c r="BD153" s="31"/>
      <c r="BE153" s="31"/>
    </row>
    <row r="154" spans="52:57" ht="15.95" hidden="1" customHeight="1">
      <c r="AZ154" s="25"/>
      <c r="BA154" s="31"/>
      <c r="BB154" s="31"/>
      <c r="BC154" s="31"/>
      <c r="BD154" s="31"/>
      <c r="BE154" s="31"/>
    </row>
    <row r="155" spans="52:57" ht="15.95" hidden="1" customHeight="1">
      <c r="AZ155" s="25"/>
      <c r="BA155" s="31"/>
      <c r="BB155" s="31"/>
      <c r="BC155" s="31"/>
      <c r="BD155" s="31"/>
      <c r="BE155" s="31"/>
    </row>
    <row r="156" spans="52:57" ht="15.95" hidden="1" customHeight="1">
      <c r="AZ156" s="25"/>
      <c r="BA156" s="31"/>
      <c r="BB156" s="31"/>
      <c r="BC156" s="31"/>
      <c r="BD156" s="31"/>
      <c r="BE156" s="31"/>
    </row>
    <row r="157" spans="52:57" ht="15.95" hidden="1" customHeight="1">
      <c r="AZ157" s="25"/>
      <c r="BA157" s="31"/>
      <c r="BB157" s="31"/>
      <c r="BC157" s="31"/>
      <c r="BD157" s="31"/>
      <c r="BE157" s="31"/>
    </row>
    <row r="158" spans="52:57" ht="15.95" hidden="1" customHeight="1">
      <c r="AZ158" s="25"/>
      <c r="BA158" s="31"/>
      <c r="BB158" s="31"/>
      <c r="BC158" s="31"/>
      <c r="BD158" s="31"/>
      <c r="BE158" s="31"/>
    </row>
    <row r="159" spans="52:57" ht="15.95" hidden="1" customHeight="1">
      <c r="AZ159" s="25"/>
      <c r="BA159" s="31"/>
      <c r="BB159" s="31"/>
      <c r="BC159" s="31"/>
      <c r="BD159" s="31"/>
      <c r="BE159" s="31"/>
    </row>
    <row r="160" spans="52:57" ht="15.95" hidden="1" customHeight="1">
      <c r="AZ160" s="25"/>
      <c r="BA160" s="31"/>
      <c r="BB160" s="31"/>
      <c r="BC160" s="31"/>
      <c r="BD160" s="31"/>
      <c r="BE160" s="31"/>
    </row>
    <row r="161" spans="52:57" ht="15.95" hidden="1" customHeight="1">
      <c r="AZ161" s="25"/>
      <c r="BA161" s="31"/>
      <c r="BB161" s="31"/>
      <c r="BC161" s="31"/>
      <c r="BD161" s="31"/>
      <c r="BE161" s="31"/>
    </row>
    <row r="162" spans="52:57" ht="15.95" hidden="1" customHeight="1">
      <c r="AZ162" s="25"/>
      <c r="BA162" s="31"/>
      <c r="BB162" s="31"/>
      <c r="BC162" s="31"/>
      <c r="BD162" s="31"/>
      <c r="BE162" s="31"/>
    </row>
    <row r="163" spans="52:57" ht="15.95" hidden="1" customHeight="1">
      <c r="AZ163" s="25"/>
      <c r="BA163" s="31"/>
      <c r="BB163" s="31"/>
      <c r="BC163" s="31"/>
      <c r="BD163" s="31"/>
      <c r="BE163" s="31"/>
    </row>
    <row r="164" spans="52:57" ht="15.95" hidden="1" customHeight="1">
      <c r="AZ164" s="25"/>
      <c r="BA164" s="31"/>
      <c r="BB164" s="31"/>
      <c r="BC164" s="31"/>
      <c r="BD164" s="31"/>
      <c r="BE164" s="31"/>
    </row>
    <row r="165" spans="52:57" ht="15.95" hidden="1" customHeight="1">
      <c r="AZ165" s="25"/>
      <c r="BA165" s="31"/>
      <c r="BB165" s="31"/>
      <c r="BC165" s="31"/>
      <c r="BD165" s="31"/>
      <c r="BE165" s="31"/>
    </row>
    <row r="166" spans="52:57" ht="15.95" hidden="1" customHeight="1">
      <c r="AZ166" s="25"/>
      <c r="BA166" s="31"/>
      <c r="BB166" s="31"/>
      <c r="BC166" s="31"/>
      <c r="BD166" s="31"/>
      <c r="BE166" s="31"/>
    </row>
    <row r="167" spans="52:57" ht="15.95" hidden="1" customHeight="1">
      <c r="AZ167" s="25"/>
      <c r="BA167" s="31"/>
      <c r="BB167" s="31"/>
      <c r="BC167" s="31"/>
      <c r="BD167" s="31"/>
      <c r="BE167" s="31"/>
    </row>
    <row r="168" spans="52:57" ht="15.95" hidden="1" customHeight="1">
      <c r="AZ168" s="25"/>
      <c r="BA168" s="31"/>
      <c r="BB168" s="31"/>
      <c r="BC168" s="31"/>
      <c r="BD168" s="31"/>
      <c r="BE168" s="31"/>
    </row>
    <row r="169" spans="52:57" ht="15.95" hidden="1" customHeight="1">
      <c r="AZ169" s="25"/>
      <c r="BA169" s="31"/>
      <c r="BB169" s="31"/>
      <c r="BC169" s="31"/>
      <c r="BD169" s="31"/>
      <c r="BE169" s="31"/>
    </row>
    <row r="170" spans="52:57" ht="15.95" hidden="1" customHeight="1">
      <c r="AZ170" s="25"/>
      <c r="BA170" s="31"/>
      <c r="BB170" s="31"/>
      <c r="BC170" s="31"/>
      <c r="BD170" s="31"/>
      <c r="BE170" s="31"/>
    </row>
    <row r="171" spans="52:57" ht="15.95" hidden="1" customHeight="1">
      <c r="AZ171" s="25"/>
      <c r="BA171" s="31"/>
      <c r="BB171" s="31"/>
      <c r="BC171" s="31"/>
      <c r="BD171" s="31"/>
      <c r="BE171" s="31"/>
    </row>
    <row r="172" spans="52:57" ht="15.95" hidden="1" customHeight="1">
      <c r="AZ172" s="25"/>
      <c r="BA172" s="31"/>
      <c r="BB172" s="31"/>
      <c r="BC172" s="31"/>
      <c r="BD172" s="31"/>
      <c r="BE172" s="31"/>
    </row>
    <row r="173" spans="52:57" ht="15.95" hidden="1" customHeight="1">
      <c r="AZ173" s="25"/>
      <c r="BA173" s="31"/>
      <c r="BB173" s="31"/>
      <c r="BC173" s="31"/>
      <c r="BD173" s="31"/>
      <c r="BE173" s="31"/>
    </row>
    <row r="174" spans="52:57" ht="15.95" hidden="1" customHeight="1">
      <c r="AZ174" s="25"/>
      <c r="BA174" s="31"/>
      <c r="BB174" s="31"/>
      <c r="BC174" s="31"/>
      <c r="BD174" s="31"/>
      <c r="BE174" s="31"/>
    </row>
    <row r="175" spans="52:57" ht="15.95" hidden="1" customHeight="1">
      <c r="AZ175" s="25"/>
      <c r="BA175" s="31"/>
      <c r="BB175" s="31"/>
      <c r="BC175" s="31"/>
      <c r="BD175" s="31"/>
      <c r="BE175" s="31"/>
    </row>
    <row r="176" spans="52:57" ht="15.95" hidden="1" customHeight="1">
      <c r="AZ176" s="25"/>
      <c r="BA176" s="31"/>
      <c r="BB176" s="31"/>
      <c r="BC176" s="31"/>
      <c r="BD176" s="31"/>
      <c r="BE176" s="31"/>
    </row>
    <row r="177" spans="52:57" ht="15.95" hidden="1" customHeight="1">
      <c r="AZ177" s="25"/>
      <c r="BA177" s="31"/>
      <c r="BB177" s="31"/>
      <c r="BC177" s="31"/>
      <c r="BD177" s="31"/>
      <c r="BE177" s="31"/>
    </row>
    <row r="178" spans="52:57" ht="15.95" hidden="1" customHeight="1">
      <c r="AZ178" s="25"/>
      <c r="BA178" s="31"/>
      <c r="BB178" s="31"/>
      <c r="BC178" s="31"/>
      <c r="BD178" s="31"/>
      <c r="BE178" s="31"/>
    </row>
    <row r="179" spans="52:57" ht="15.95" hidden="1" customHeight="1">
      <c r="AZ179" s="25"/>
      <c r="BA179" s="31"/>
      <c r="BB179" s="31"/>
      <c r="BC179" s="31"/>
      <c r="BD179" s="31"/>
      <c r="BE179" s="31"/>
    </row>
    <row r="180" spans="52:57" ht="15.95" hidden="1" customHeight="1">
      <c r="AZ180" s="25"/>
      <c r="BA180" s="31"/>
      <c r="BB180" s="31"/>
      <c r="BC180" s="31"/>
      <c r="BD180" s="31"/>
      <c r="BE180" s="31"/>
    </row>
    <row r="181" spans="52:57" ht="15.95" hidden="1" customHeight="1">
      <c r="AZ181" s="25"/>
      <c r="BA181" s="31"/>
      <c r="BB181" s="31"/>
      <c r="BC181" s="31"/>
      <c r="BD181" s="31"/>
      <c r="BE181" s="31"/>
    </row>
    <row r="182" spans="52:57" ht="15.95" hidden="1" customHeight="1">
      <c r="AZ182" s="25"/>
      <c r="BA182" s="31"/>
      <c r="BB182" s="31"/>
      <c r="BC182" s="31"/>
      <c r="BD182" s="31"/>
      <c r="BE182" s="31"/>
    </row>
    <row r="183" spans="52:57" ht="15.95" hidden="1" customHeight="1">
      <c r="AZ183" s="25"/>
      <c r="BA183" s="31"/>
      <c r="BB183" s="31"/>
      <c r="BC183" s="31"/>
      <c r="BD183" s="31"/>
      <c r="BE183" s="31"/>
    </row>
    <row r="184" spans="52:57" ht="15.95" hidden="1" customHeight="1">
      <c r="AZ184" s="25"/>
      <c r="BA184" s="31"/>
      <c r="BB184" s="31"/>
      <c r="BC184" s="31"/>
      <c r="BD184" s="31"/>
      <c r="BE184" s="31"/>
    </row>
    <row r="185" spans="52:57" ht="15.95" hidden="1" customHeight="1">
      <c r="AZ185" s="25"/>
      <c r="BA185" s="31"/>
      <c r="BB185" s="31"/>
      <c r="BC185" s="31"/>
      <c r="BD185" s="31"/>
      <c r="BE185" s="31"/>
    </row>
    <row r="186" spans="52:57" ht="15.95" hidden="1" customHeight="1">
      <c r="AZ186" s="25"/>
      <c r="BA186" s="31"/>
      <c r="BB186" s="31"/>
      <c r="BC186" s="31"/>
      <c r="BD186" s="31"/>
      <c r="BE186" s="31"/>
    </row>
    <row r="187" spans="52:57" ht="15.95" hidden="1" customHeight="1">
      <c r="AZ187" s="25"/>
      <c r="BA187" s="31"/>
      <c r="BB187" s="31"/>
      <c r="BC187" s="31"/>
      <c r="BD187" s="31"/>
      <c r="BE187" s="31"/>
    </row>
    <row r="188" spans="52:57" ht="15.95" hidden="1" customHeight="1">
      <c r="AZ188" s="25"/>
      <c r="BA188" s="31"/>
      <c r="BB188" s="31"/>
      <c r="BC188" s="31"/>
      <c r="BD188" s="31"/>
      <c r="BE188" s="31"/>
    </row>
    <row r="189" spans="52:57" ht="15.95" hidden="1" customHeight="1">
      <c r="AZ189" s="25"/>
      <c r="BA189" s="31"/>
      <c r="BB189" s="31"/>
      <c r="BC189" s="31"/>
      <c r="BD189" s="31"/>
      <c r="BE189" s="31"/>
    </row>
    <row r="190" spans="52:57" ht="15.95" hidden="1" customHeight="1">
      <c r="AZ190" s="25"/>
      <c r="BA190" s="31"/>
      <c r="BB190" s="31"/>
      <c r="BC190" s="31"/>
      <c r="BD190" s="31"/>
      <c r="BE190" s="31"/>
    </row>
    <row r="191" spans="52:57" ht="15.95" hidden="1" customHeight="1">
      <c r="AZ191" s="25"/>
      <c r="BA191" s="31"/>
      <c r="BB191" s="31"/>
      <c r="BC191" s="31"/>
      <c r="BD191" s="31"/>
      <c r="BE191" s="31"/>
    </row>
    <row r="192" spans="52:57" ht="15.95" hidden="1" customHeight="1">
      <c r="AZ192" s="25"/>
      <c r="BA192" s="31"/>
      <c r="BB192" s="31"/>
      <c r="BC192" s="31"/>
      <c r="BD192" s="31"/>
      <c r="BE192" s="31"/>
    </row>
    <row r="193" spans="1:61" ht="15.95" hidden="1" customHeight="1">
      <c r="AZ193" s="25"/>
      <c r="BA193" s="31"/>
      <c r="BB193" s="31"/>
      <c r="BC193" s="31"/>
      <c r="BD193" s="31"/>
      <c r="BE193" s="31"/>
    </row>
    <row r="194" spans="1:61" ht="15.95" hidden="1" customHeight="1">
      <c r="AZ194" s="25"/>
      <c r="BA194" s="31"/>
      <c r="BB194" s="31"/>
      <c r="BC194" s="31"/>
      <c r="BD194" s="31"/>
      <c r="BE194" s="31"/>
    </row>
    <row r="195" spans="1:61" ht="15.95" hidden="1" customHeight="1">
      <c r="AZ195" s="25"/>
      <c r="BA195" s="31"/>
      <c r="BB195" s="31"/>
      <c r="BC195" s="31"/>
      <c r="BD195" s="31"/>
      <c r="BE195" s="31"/>
    </row>
    <row r="196" spans="1:61" ht="15.95" hidden="1" customHeight="1">
      <c r="AZ196" s="25"/>
      <c r="BA196" s="31"/>
      <c r="BB196" s="31"/>
      <c r="BC196" s="31"/>
      <c r="BD196" s="31"/>
      <c r="BE196" s="31"/>
    </row>
    <row r="197" spans="1:61" ht="15.95" hidden="1" customHeight="1">
      <c r="AZ197" s="25"/>
      <c r="BA197" s="31"/>
      <c r="BB197" s="31"/>
      <c r="BC197" s="31"/>
      <c r="BD197" s="31"/>
      <c r="BE197" s="31"/>
    </row>
    <row r="198" spans="1:61" ht="15.95" hidden="1" customHeight="1">
      <c r="AZ198" s="25"/>
      <c r="BA198" s="31"/>
      <c r="BB198" s="31"/>
      <c r="BC198" s="31"/>
      <c r="BD198" s="31"/>
      <c r="BE198" s="31"/>
    </row>
    <row r="199" spans="1:61" ht="15.95" hidden="1" customHeight="1">
      <c r="AZ199" s="25"/>
      <c r="BA199" s="31"/>
      <c r="BB199" s="31"/>
      <c r="BC199" s="31"/>
      <c r="BD199" s="31"/>
      <c r="BE199" s="31"/>
    </row>
    <row r="200" spans="1:61"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c r="BB200" s="1074">
        <f>IF(OR(COUNTIF(BB18:BC37,"Missing!")&gt;0,COUNTIF(BB18:BC37,0)&gt;0,IF(2*COUNTBLANK(AK18:AK37)=COUNTBLANK(BB18:BC37),0,1)&gt;0),"Missing Units on Custom Motors and Drives. ",SUM(BB18:BB37))</f>
        <v>0</v>
      </c>
      <c r="BC200" s="838">
        <f>SUM(BC18:BC37)</f>
        <v>0</v>
      </c>
      <c r="BD200" s="838">
        <f>SUM(BD18:BD37)</f>
        <v>0</v>
      </c>
      <c r="BE200" s="838">
        <f>SUM(BE18:BE37)</f>
        <v>0</v>
      </c>
      <c r="BH200" s="1065">
        <f>SUM(BH18:BH37)</f>
        <v>0</v>
      </c>
      <c r="BI200" s="1065">
        <f>SUM(BI18:BI37)</f>
        <v>0</v>
      </c>
    </row>
    <row r="201" spans="1:61"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c r="BB201" s="1074"/>
      <c r="BC201" s="838"/>
      <c r="BD201" s="838"/>
      <c r="BE201" s="838"/>
      <c r="BH201" s="837"/>
      <c r="BI201" s="837"/>
    </row>
    <row r="202" spans="1:61"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61" ht="15.95" hidden="1" customHeight="1"/>
    <row r="204" spans="1:61" ht="15.95" hidden="1" customHeight="1"/>
  </sheetData>
  <sheetProtection algorithmName="SHA-512" hashValue="G+eg5OGjcvV2h1BloC3Khh7f0FeF4hh0cYHxF9IRHjQsW4n2IZJqwUHYiYALLtVEGWMX4Vb6+XQYm/U9lYLt6w==" saltValue="hKLMiznQTL79e/BUbmwecg==" spinCount="100000" sheet="1" objects="1" scenarios="1" selectLockedCells="1"/>
  <mergeCells count="383">
    <mergeCell ref="F1:I3"/>
    <mergeCell ref="J1:M3"/>
    <mergeCell ref="O1:AE3"/>
    <mergeCell ref="AL1:AO3"/>
    <mergeCell ref="AP1:AS3"/>
    <mergeCell ref="AT1:AW3"/>
    <mergeCell ref="Y22:AA23"/>
    <mergeCell ref="T24:X25"/>
    <mergeCell ref="Y24:AA25"/>
    <mergeCell ref="AA9:AD11"/>
    <mergeCell ref="AN22:AQ23"/>
    <mergeCell ref="AH22:AJ23"/>
    <mergeCell ref="AK22:AM23"/>
    <mergeCell ref="AH18:AJ19"/>
    <mergeCell ref="AK18:AM19"/>
    <mergeCell ref="AN18:AQ19"/>
    <mergeCell ref="AI13:AQ14"/>
    <mergeCell ref="Z14:AC14"/>
    <mergeCell ref="R12:U13"/>
    <mergeCell ref="V12:Y13"/>
    <mergeCell ref="Z12:AC13"/>
    <mergeCell ref="T26:X27"/>
    <mergeCell ref="Y26:AA27"/>
    <mergeCell ref="L18:P19"/>
    <mergeCell ref="Q20:S21"/>
    <mergeCell ref="L22:P23"/>
    <mergeCell ref="Q22:S23"/>
    <mergeCell ref="L24:P25"/>
    <mergeCell ref="Q24:S25"/>
    <mergeCell ref="L26:P27"/>
    <mergeCell ref="Q26:S27"/>
    <mergeCell ref="Q18:S19"/>
    <mergeCell ref="L20:P21"/>
    <mergeCell ref="Q28:S29"/>
    <mergeCell ref="A8:E8"/>
    <mergeCell ref="AQ8:AU8"/>
    <mergeCell ref="C16:K17"/>
    <mergeCell ref="AB16:AD17"/>
    <mergeCell ref="AE16:AG17"/>
    <mergeCell ref="C18:K19"/>
    <mergeCell ref="AB18:AD19"/>
    <mergeCell ref="AE18:AG19"/>
    <mergeCell ref="C20:K21"/>
    <mergeCell ref="AB20:AD21"/>
    <mergeCell ref="AE20:AG21"/>
    <mergeCell ref="AK20:AM21"/>
    <mergeCell ref="AN20:AQ21"/>
    <mergeCell ref="AH20:AJ21"/>
    <mergeCell ref="AN16:AQ17"/>
    <mergeCell ref="G9:J11"/>
    <mergeCell ref="K9:N11"/>
    <mergeCell ref="O9:R11"/>
    <mergeCell ref="S9:V11"/>
    <mergeCell ref="W9:Z11"/>
    <mergeCell ref="R14:U14"/>
    <mergeCell ref="V14:Y14"/>
    <mergeCell ref="T22:X23"/>
    <mergeCell ref="A5:E6"/>
    <mergeCell ref="AQ5:AU6"/>
    <mergeCell ref="A7:E7"/>
    <mergeCell ref="AQ7:AU7"/>
    <mergeCell ref="M200:AG201"/>
    <mergeCell ref="BD200:BD201"/>
    <mergeCell ref="BE200:BE201"/>
    <mergeCell ref="BH200:BH201"/>
    <mergeCell ref="AK36:AM37"/>
    <mergeCell ref="AN36:AQ37"/>
    <mergeCell ref="AH36:AJ37"/>
    <mergeCell ref="AY36:AY37"/>
    <mergeCell ref="AZ36:AZ37"/>
    <mergeCell ref="BA36:BA37"/>
    <mergeCell ref="BD36:BD37"/>
    <mergeCell ref="BE36:BE37"/>
    <mergeCell ref="BF36:BF37"/>
    <mergeCell ref="BG36:BG37"/>
    <mergeCell ref="BH36:BH37"/>
    <mergeCell ref="BB36:BB37"/>
    <mergeCell ref="BB200:BB201"/>
    <mergeCell ref="BC36:BC37"/>
    <mergeCell ref="L36:P37"/>
    <mergeCell ref="Q36:S37"/>
    <mergeCell ref="T36:X37"/>
    <mergeCell ref="BC200:BC201"/>
    <mergeCell ref="AB36:AD37"/>
    <mergeCell ref="AE36:AG37"/>
    <mergeCell ref="B36:B37"/>
    <mergeCell ref="AH34:AJ35"/>
    <mergeCell ref="AK34:AM35"/>
    <mergeCell ref="AN34:AQ35"/>
    <mergeCell ref="B34:B35"/>
    <mergeCell ref="C34:K35"/>
    <mergeCell ref="L34:P35"/>
    <mergeCell ref="Q34:S35"/>
    <mergeCell ref="T34:X35"/>
    <mergeCell ref="Y34:AA35"/>
    <mergeCell ref="Y36:AA37"/>
    <mergeCell ref="C36:K37"/>
    <mergeCell ref="AB34:AD35"/>
    <mergeCell ref="AE34:AG35"/>
    <mergeCell ref="AH32:AJ33"/>
    <mergeCell ref="AK32:AM33"/>
    <mergeCell ref="AN32:AQ33"/>
    <mergeCell ref="B32:B33"/>
    <mergeCell ref="L32:P33"/>
    <mergeCell ref="Q32:S33"/>
    <mergeCell ref="T32:X33"/>
    <mergeCell ref="Y32:AA33"/>
    <mergeCell ref="AN30:AQ31"/>
    <mergeCell ref="AH30:AJ31"/>
    <mergeCell ref="AK30:AM31"/>
    <mergeCell ref="B30:B31"/>
    <mergeCell ref="L30:P31"/>
    <mergeCell ref="Q30:S31"/>
    <mergeCell ref="T30:X31"/>
    <mergeCell ref="Y30:AA31"/>
    <mergeCell ref="C30:K31"/>
    <mergeCell ref="AB30:AD31"/>
    <mergeCell ref="AE30:AG31"/>
    <mergeCell ref="C32:K33"/>
    <mergeCell ref="AB32:AD33"/>
    <mergeCell ref="AE32:AG33"/>
    <mergeCell ref="AK28:AM29"/>
    <mergeCell ref="AN28:AQ29"/>
    <mergeCell ref="AH28:AJ29"/>
    <mergeCell ref="B28:B29"/>
    <mergeCell ref="T28:X29"/>
    <mergeCell ref="Y28:AA29"/>
    <mergeCell ref="AH24:AJ25"/>
    <mergeCell ref="AK24:AM25"/>
    <mergeCell ref="AN24:AQ25"/>
    <mergeCell ref="AN26:AQ27"/>
    <mergeCell ref="B24:B25"/>
    <mergeCell ref="AH26:AJ27"/>
    <mergeCell ref="AK26:AM27"/>
    <mergeCell ref="B26:B27"/>
    <mergeCell ref="C24:K25"/>
    <mergeCell ref="AB24:AD25"/>
    <mergeCell ref="AE24:AG25"/>
    <mergeCell ref="C26:K27"/>
    <mergeCell ref="AB26:AD27"/>
    <mergeCell ref="AE26:AG27"/>
    <mergeCell ref="C28:K29"/>
    <mergeCell ref="AB28:AD29"/>
    <mergeCell ref="AE28:AG29"/>
    <mergeCell ref="L28:P29"/>
    <mergeCell ref="BP18:BP19"/>
    <mergeCell ref="BQ18:BQ19"/>
    <mergeCell ref="BI20:BI21"/>
    <mergeCell ref="BJ20:BJ21"/>
    <mergeCell ref="BK20:BK21"/>
    <mergeCell ref="BL20:BL21"/>
    <mergeCell ref="BM20:BM21"/>
    <mergeCell ref="BN20:BN21"/>
    <mergeCell ref="BO20:BO21"/>
    <mergeCell ref="BP20:BP21"/>
    <mergeCell ref="BQ20:BQ21"/>
    <mergeCell ref="BJ18:BJ19"/>
    <mergeCell ref="BK18:BK19"/>
    <mergeCell ref="B22:B23"/>
    <mergeCell ref="C22:K23"/>
    <mergeCell ref="AB22:AD23"/>
    <mergeCell ref="AE22:AG23"/>
    <mergeCell ref="BB18:BB19"/>
    <mergeCell ref="BB20:BB21"/>
    <mergeCell ref="BB22:BB23"/>
    <mergeCell ref="BC18:BC19"/>
    <mergeCell ref="BC20:BC21"/>
    <mergeCell ref="BC22:BC23"/>
    <mergeCell ref="B20:B21"/>
    <mergeCell ref="AY18:AY19"/>
    <mergeCell ref="AZ18:AZ19"/>
    <mergeCell ref="BA18:BA19"/>
    <mergeCell ref="BQ16:BQ17"/>
    <mergeCell ref="BC16:BC17"/>
    <mergeCell ref="AY20:AY21"/>
    <mergeCell ref="AZ20:AZ21"/>
    <mergeCell ref="BA20:BA21"/>
    <mergeCell ref="BD20:BD21"/>
    <mergeCell ref="T16:X17"/>
    <mergeCell ref="Y16:AA17"/>
    <mergeCell ref="Y18:AA19"/>
    <mergeCell ref="T18:X19"/>
    <mergeCell ref="Y20:AA21"/>
    <mergeCell ref="T20:X21"/>
    <mergeCell ref="BL18:BL19"/>
    <mergeCell ref="BM18:BM19"/>
    <mergeCell ref="BN18:BN19"/>
    <mergeCell ref="BO18:BO19"/>
    <mergeCell ref="BD18:BD19"/>
    <mergeCell ref="BE18:BE19"/>
    <mergeCell ref="BF18:BF19"/>
    <mergeCell ref="BG18:BG19"/>
    <mergeCell ref="BH18:BH19"/>
    <mergeCell ref="BI18:BI19"/>
    <mergeCell ref="BE20:BE21"/>
    <mergeCell ref="BF20:BF21"/>
    <mergeCell ref="BR16:BR17"/>
    <mergeCell ref="B18:B19"/>
    <mergeCell ref="BK16:BK17"/>
    <mergeCell ref="BL16:BL17"/>
    <mergeCell ref="BM16:BM17"/>
    <mergeCell ref="BN16:BN17"/>
    <mergeCell ref="BO16:BO17"/>
    <mergeCell ref="BP16:BP17"/>
    <mergeCell ref="BE16:BE17"/>
    <mergeCell ref="BF16:BF17"/>
    <mergeCell ref="BG16:BG17"/>
    <mergeCell ref="BH16:BH17"/>
    <mergeCell ref="BI16:BI17"/>
    <mergeCell ref="BJ16:BJ17"/>
    <mergeCell ref="AK16:AM17"/>
    <mergeCell ref="AY16:AY17"/>
    <mergeCell ref="AZ16:AZ17"/>
    <mergeCell ref="BA16:BA17"/>
    <mergeCell ref="BD16:BD17"/>
    <mergeCell ref="AH16:AJ17"/>
    <mergeCell ref="BR18:BR19"/>
    <mergeCell ref="L16:P17"/>
    <mergeCell ref="Q16:S17"/>
    <mergeCell ref="BB16:BB17"/>
    <mergeCell ref="BR20:BR21"/>
    <mergeCell ref="AY22:AY23"/>
    <mergeCell ref="AZ22:AZ23"/>
    <mergeCell ref="BA22:BA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Q22:BQ23"/>
    <mergeCell ref="BR22:BR23"/>
    <mergeCell ref="BG20:BG21"/>
    <mergeCell ref="BH20:BH21"/>
    <mergeCell ref="AY24:AY25"/>
    <mergeCell ref="AZ24:AZ25"/>
    <mergeCell ref="BA24:BA25"/>
    <mergeCell ref="BD24:BD25"/>
    <mergeCell ref="BE24:BE25"/>
    <mergeCell ref="BF24:BF25"/>
    <mergeCell ref="BG24:BG25"/>
    <mergeCell ref="BH24:BH25"/>
    <mergeCell ref="BI24:BI25"/>
    <mergeCell ref="BB24:BB25"/>
    <mergeCell ref="BC24:BC25"/>
    <mergeCell ref="BJ24:BJ25"/>
    <mergeCell ref="BK24:BK25"/>
    <mergeCell ref="BL24:BL25"/>
    <mergeCell ref="BM24:BM25"/>
    <mergeCell ref="BN24:BN25"/>
    <mergeCell ref="BO24:BO25"/>
    <mergeCell ref="BP24:BP25"/>
    <mergeCell ref="BQ24:BQ25"/>
    <mergeCell ref="BR24:BR25"/>
    <mergeCell ref="AY26:AY27"/>
    <mergeCell ref="AZ26:AZ27"/>
    <mergeCell ref="BA26:BA27"/>
    <mergeCell ref="BD26:BD27"/>
    <mergeCell ref="BE26:BE27"/>
    <mergeCell ref="BF26:BF27"/>
    <mergeCell ref="BG26:BG27"/>
    <mergeCell ref="BH26:BH27"/>
    <mergeCell ref="BI26:BI27"/>
    <mergeCell ref="BB26:BB27"/>
    <mergeCell ref="BC26:BC27"/>
    <mergeCell ref="BJ26:BJ27"/>
    <mergeCell ref="BK26:BK27"/>
    <mergeCell ref="BL26:BL27"/>
    <mergeCell ref="BM26:BM27"/>
    <mergeCell ref="BN26:BN27"/>
    <mergeCell ref="BO26:BO27"/>
    <mergeCell ref="BP26:BP27"/>
    <mergeCell ref="BQ26:BQ27"/>
    <mergeCell ref="BR26:BR27"/>
    <mergeCell ref="AY28:AY29"/>
    <mergeCell ref="AZ28:AZ29"/>
    <mergeCell ref="BA28:BA29"/>
    <mergeCell ref="BD28:BD29"/>
    <mergeCell ref="BE28:BE29"/>
    <mergeCell ref="BF28:BF29"/>
    <mergeCell ref="BG28:BG29"/>
    <mergeCell ref="BH28:BH29"/>
    <mergeCell ref="BI28:BI29"/>
    <mergeCell ref="BB28:BB29"/>
    <mergeCell ref="BC28:BC29"/>
    <mergeCell ref="BJ28:BJ29"/>
    <mergeCell ref="BK28:BK29"/>
    <mergeCell ref="BL28:BL29"/>
    <mergeCell ref="BM28:BM29"/>
    <mergeCell ref="BN28:BN29"/>
    <mergeCell ref="BO28:BO29"/>
    <mergeCell ref="BP28:BP29"/>
    <mergeCell ref="BQ28:BQ29"/>
    <mergeCell ref="BR28:BR29"/>
    <mergeCell ref="AY30:AY31"/>
    <mergeCell ref="AZ30:AZ31"/>
    <mergeCell ref="BA30:BA31"/>
    <mergeCell ref="BD30:BD31"/>
    <mergeCell ref="BE30:BE31"/>
    <mergeCell ref="BF30:BF31"/>
    <mergeCell ref="BG30:BG31"/>
    <mergeCell ref="BH30:BH31"/>
    <mergeCell ref="BI30:BI31"/>
    <mergeCell ref="BB30:BB31"/>
    <mergeCell ref="BC30:BC31"/>
    <mergeCell ref="BJ30:BJ31"/>
    <mergeCell ref="BK30:BK31"/>
    <mergeCell ref="BL30:BL31"/>
    <mergeCell ref="BM30:BM31"/>
    <mergeCell ref="BN30:BN31"/>
    <mergeCell ref="BO30:BO31"/>
    <mergeCell ref="BP30:BP31"/>
    <mergeCell ref="BQ30:BQ31"/>
    <mergeCell ref="BR30:BR31"/>
    <mergeCell ref="AY32:AY33"/>
    <mergeCell ref="AZ32:AZ33"/>
    <mergeCell ref="BA32:BA33"/>
    <mergeCell ref="BD32:BD33"/>
    <mergeCell ref="BE32:BE33"/>
    <mergeCell ref="BF32:BF33"/>
    <mergeCell ref="BG32:BG33"/>
    <mergeCell ref="BH32:BH33"/>
    <mergeCell ref="BI32:BI33"/>
    <mergeCell ref="BB32:BB33"/>
    <mergeCell ref="BC32:BC33"/>
    <mergeCell ref="BJ32:BJ33"/>
    <mergeCell ref="BK32:BK33"/>
    <mergeCell ref="BL32:BL33"/>
    <mergeCell ref="BM32:BM33"/>
    <mergeCell ref="BN32:BN33"/>
    <mergeCell ref="BO32:BO33"/>
    <mergeCell ref="BP32:BP33"/>
    <mergeCell ref="BQ32:BQ33"/>
    <mergeCell ref="BR32:BR33"/>
    <mergeCell ref="BL34:BL35"/>
    <mergeCell ref="BM34:BM35"/>
    <mergeCell ref="BN34:BN35"/>
    <mergeCell ref="BO34:BO35"/>
    <mergeCell ref="BP34:BP35"/>
    <mergeCell ref="BQ34:BQ35"/>
    <mergeCell ref="BR34:BR35"/>
    <mergeCell ref="AY34:AY35"/>
    <mergeCell ref="AZ34:AZ35"/>
    <mergeCell ref="BA34:BA35"/>
    <mergeCell ref="BD34:BD35"/>
    <mergeCell ref="BE34:BE35"/>
    <mergeCell ref="BF34:BF35"/>
    <mergeCell ref="BG34:BG35"/>
    <mergeCell ref="BH34:BH35"/>
    <mergeCell ref="BI34:BI35"/>
    <mergeCell ref="BB34:BB35"/>
    <mergeCell ref="BC34:BC35"/>
    <mergeCell ref="BI200:BI201"/>
    <mergeCell ref="BS34:BS35"/>
    <mergeCell ref="BS36:BS37"/>
    <mergeCell ref="BS16:BS17"/>
    <mergeCell ref="BS18:BS19"/>
    <mergeCell ref="BS20:BS21"/>
    <mergeCell ref="BS22:BS23"/>
    <mergeCell ref="BS24:BS25"/>
    <mergeCell ref="BS26:BS27"/>
    <mergeCell ref="BS28:BS29"/>
    <mergeCell ref="BS30:BS31"/>
    <mergeCell ref="BS32:BS33"/>
    <mergeCell ref="BR36:BR37"/>
    <mergeCell ref="BI36:BI37"/>
    <mergeCell ref="BJ36:BJ37"/>
    <mergeCell ref="BK36:BK37"/>
    <mergeCell ref="BL36:BL37"/>
    <mergeCell ref="BM36:BM37"/>
    <mergeCell ref="BN36:BN37"/>
    <mergeCell ref="BO36:BO37"/>
    <mergeCell ref="BP36:BP37"/>
    <mergeCell ref="BQ36:BQ37"/>
    <mergeCell ref="BJ34:BJ35"/>
    <mergeCell ref="BK34:BK35"/>
  </mergeCells>
  <conditionalFormatting sqref="C18:K37">
    <cfRule type="expression" dxfId="98" priority="6">
      <formula>IF(AND($C18&lt;&gt;"",OR(ISBLANK(C18)=TRUE,C18="")),TRUE,FALSE)</formula>
    </cfRule>
  </conditionalFormatting>
  <conditionalFormatting sqref="L18 Q18">
    <cfRule type="expression" dxfId="97" priority="4">
      <formula>IF(AND($C18&lt;&gt;"",OR(ISBLANK(L18)=TRUE,L18="")),TRUE,FALSE)</formula>
    </cfRule>
  </conditionalFormatting>
  <conditionalFormatting sqref="L20 Q20 T20 Y20">
    <cfRule type="expression" dxfId="96" priority="10">
      <formula>IF(AND($C20&lt;&gt;"",OR(ISBLANK(L20)=TRUE,L20="")),TRUE,FALSE)</formula>
    </cfRule>
  </conditionalFormatting>
  <conditionalFormatting sqref="L22 Q22 L24 Q24 L26 Q26 L28 Q28 L30 Q30 L32 Q32 L34 Q34 L36 Q36">
    <cfRule type="expression" dxfId="95" priority="8">
      <formula>IF(AND($C22&lt;&gt;"",OR(ISBLANK(L22)=TRUE,L22="")),TRUE,FALSE)</formula>
    </cfRule>
  </conditionalFormatting>
  <conditionalFormatting sqref="T18 Y18">
    <cfRule type="expression" dxfId="94" priority="3">
      <formula>IF(AND($C18&lt;&gt;"",OR(ISBLANK(T18)=TRUE,T18="")),TRUE,FALSE)</formula>
    </cfRule>
  </conditionalFormatting>
  <conditionalFormatting sqref="T22 Y22 T24 Y24 T26 Y26 T28 Y28 T30 Y30 T32 Y32 T34 Y34 T36 Y36">
    <cfRule type="expression" dxfId="93" priority="7">
      <formula>IF(AND($C22&lt;&gt;"",OR(ISBLANK(T22)=TRUE,T22="")),TRUE,FALSE)</formula>
    </cfRule>
  </conditionalFormatting>
  <conditionalFormatting sqref="AB18:AG37">
    <cfRule type="expression" dxfId="92" priority="5">
      <formula>IF(AND($C18&lt;&gt;"",OR(ISBLANK(AB18)=TRUE,AB18="")),TRUE,FALSE)</formula>
    </cfRule>
  </conditionalFormatting>
  <conditionalFormatting sqref="AN18:AQ37">
    <cfRule type="expression" dxfId="91" priority="1" stopIfTrue="1">
      <formula>ISNUMBER($AN18)=FALSE</formula>
    </cfRule>
    <cfRule type="expression" dxfId="90" priority="9">
      <formula>$AN18 &lt;&gt; $BJ18</formula>
    </cfRule>
  </conditionalFormatting>
  <conditionalFormatting sqref="AQ8:AW8">
    <cfRule type="expression" dxfId="89" priority="1662">
      <formula>IF($AQ$8=PROJSTATMEASURE,FALSE,TRUE)</formula>
    </cfRule>
  </conditionalFormatting>
  <conditionalFormatting sqref="BB18:BC37 BI18:BI37">
    <cfRule type="expression" dxfId="88" priority="2">
      <formula>IF(AND(ISNUMBER($AK18),OR(BB18="Missing!",BB18="")),TRUE,FALSE)</formula>
    </cfRule>
  </conditionalFormatting>
  <dataValidations count="6">
    <dataValidation type="decimal" allowBlank="1" showInputMessage="1" showErrorMessage="1" sqref="P22:P37 X22:X37 P18:P19 X18:X19" xr:uid="{176A3FA7-C853-47F0-8620-352026DA0E09}">
      <formula1>0</formula1>
      <formula2>999999</formula2>
    </dataValidation>
    <dataValidation type="decimal" allowBlank="1" showInputMessage="1" showErrorMessage="1" prompt="Input the total cost of the Efficient Equipment" sqref="AE18:AG37" xr:uid="{3E557746-4A20-43A1-B008-6461B3C41BD9}">
      <formula1>AB18</formula1>
      <formula2>999999999</formula2>
    </dataValidation>
    <dataValidation type="decimal" allowBlank="1" showInputMessage="1" showErrorMessage="1" prompt="Input the total cost of the Baseline Equipment" sqref="AB18:AD37" xr:uid="{D99072B4-720D-40FA-82E6-6DFCD42CB0C7}">
      <formula1>0</formula1>
      <formula2>999999999</formula2>
    </dataValidation>
    <dataValidation type="list" allowBlank="1" showInputMessage="1" showErrorMessage="1" sqref="C18:K37" xr:uid="{7E12BAF4-6BD3-41D5-A576-F9E34A8D54D2}">
      <formula1>CMEMOTORLIST_N</formula1>
    </dataValidation>
    <dataValidation type="list" allowBlank="1" showInputMessage="1" sqref="BG18:BG37" xr:uid="{D4364A39-F1EC-4E2D-97BF-6185AE65198B}">
      <formula1>ENDUSECAT</formula1>
    </dataValidation>
    <dataValidation type="whole" operator="greaterThanOrEqual" allowBlank="1" showInputMessage="1" showErrorMessage="1" errorTitle="Invalid Entry" error="Value must be a whole number." sqref="Q18:S37 Y18:AA37" xr:uid="{FBB8BA2D-6F23-455B-9DE7-E1B8B2C23704}">
      <formula1>0</formula1>
    </dataValidation>
  </dataValidations>
  <hyperlinks>
    <hyperlink ref="G9:J11" location="'M03-S04'!C18" tooltip="Refrigeration" display="'M03-S04'!C18" xr:uid="{D224EE2D-B226-4696-AB1D-8D7F26914842}"/>
    <hyperlink ref="K9:N11" location="'M03-S05'!C18" tooltip="HVAC" display="'M03-S05'!C18" xr:uid="{A28E72E6-1A07-45CA-A319-ABFCAA1E0F33}"/>
    <hyperlink ref="S9:V11" location="'M03-S06'!C18" tooltip="Compressed Air / Process" display="'M03-S06'!C18" xr:uid="{97DA0848-CC2D-49B1-B001-FEE2D362C185}"/>
    <hyperlink ref="W9:Z11" location="'M03-S07'!C18" tooltip="Water Heating / Cooking" display="'M03-S07'!C18" xr:uid="{07C9EF67-007B-4230-8B5F-F32BBE4E89F2}"/>
    <hyperlink ref="O9:R11" location="'M03-S08'!C18" tooltip="Motors and Drives" display="'M03-S08'!C18" xr:uid="{78BE5768-E3B2-4C04-95AA-234A360E28D0}"/>
    <hyperlink ref="AA9:AD11" location="'M04-S09'!C18" tooltip="Miscellaneous" display="'M04-S09'!C18" xr:uid="{ABC34A4A-85A6-4A02-88D7-F636AF422C1E}"/>
    <hyperlink ref="B202" r:id="rId1" display="businessrebates@evergy.com" xr:uid="{F1A5E0A0-B79A-4A34-8EE5-565B71B05B7B}"/>
  </hyperlinks>
  <printOptions horizontalCentered="1"/>
  <pageMargins left="0" right="0" top="0" bottom="0" header="0" footer="0"/>
  <pageSetup scale="4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6EA81-1B19-4466-853C-6F700C195951}">
  <sheetPr codeName="Sheet82">
    <tabColor theme="9" tint="0.59999389629810485"/>
    <pageSetUpPr fitToPage="1"/>
  </sheetPr>
  <dimension ref="A1:BS204"/>
  <sheetViews>
    <sheetView showGridLines="0" showRowColHeaders="0" zoomScale="85" zoomScaleNormal="85" workbookViewId="0">
      <selection activeCell="C18" sqref="C18:K19"/>
    </sheetView>
  </sheetViews>
  <sheetFormatPr defaultColWidth="0" defaultRowHeight="15" customHeight="1" zeroHeight="1"/>
  <cols>
    <col min="1" max="49" width="4.7109375" customWidth="1"/>
    <col min="50" max="50" width="4.7109375" hidden="1"/>
    <col min="51" max="68" width="9.7109375" hidden="1"/>
    <col min="69" max="69" width="11" hidden="1"/>
    <col min="70" max="70" width="10.42578125" hidden="1"/>
    <col min="71" max="71" width="9.28515625" hidden="1"/>
    <col min="72" max="16384" width="4.7109375" hidden="1"/>
  </cols>
  <sheetData>
    <row r="1" spans="1:71"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71"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71"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71" ht="15.95" customHeight="1">
      <c r="B4" s="199"/>
      <c r="C4" s="199"/>
      <c r="D4" s="199"/>
      <c r="E4" s="199"/>
    </row>
    <row r="5" spans="1:71" ht="15.95" customHeight="1">
      <c r="A5" s="667">
        <f>INCENTOTAL_N</f>
        <v>0</v>
      </c>
      <c r="B5" s="667"/>
      <c r="C5" s="667"/>
      <c r="D5" s="667"/>
      <c r="E5" s="667"/>
      <c r="AQ5" s="668">
        <f ca="1">PROGRESSSTATUS_N</f>
        <v>0</v>
      </c>
      <c r="AR5" s="668"/>
      <c r="AS5" s="668"/>
      <c r="AT5" s="668"/>
      <c r="AU5" s="668"/>
      <c r="AV5" s="557"/>
      <c r="AW5" s="557"/>
      <c r="AY5" s="21"/>
      <c r="AZ5" s="110" t="s">
        <v>844</v>
      </c>
      <c r="BA5" s="110" t="s">
        <v>198</v>
      </c>
      <c r="BB5" s="43"/>
      <c r="BC5" s="43"/>
    </row>
    <row r="6" spans="1:71" ht="15.95" customHeight="1">
      <c r="A6" s="667"/>
      <c r="B6" s="667"/>
      <c r="C6" s="667"/>
      <c r="D6" s="667"/>
      <c r="E6" s="667"/>
      <c r="AQ6" s="668"/>
      <c r="AR6" s="668"/>
      <c r="AS6" s="668"/>
      <c r="AT6" s="668"/>
      <c r="AU6" s="668"/>
      <c r="AV6" s="557"/>
      <c r="AW6" s="557"/>
      <c r="AY6" s="109" t="s">
        <v>26</v>
      </c>
      <c r="AZ6" s="108" t="str">
        <f>CBLIGHT_N</f>
        <v>NA</v>
      </c>
      <c r="BA6" s="176" t="str">
        <f>PAYLIGHT_N</f>
        <v>NA</v>
      </c>
      <c r="BB6" s="43"/>
      <c r="BC6" s="43"/>
    </row>
    <row r="7" spans="1:71" ht="15.95" customHeight="1">
      <c r="A7" s="665" t="s">
        <v>20</v>
      </c>
      <c r="B7" s="665"/>
      <c r="C7" s="665"/>
      <c r="D7" s="665"/>
      <c r="E7" s="665"/>
      <c r="AQ7" s="665" t="s">
        <v>179</v>
      </c>
      <c r="AR7" s="665"/>
      <c r="AS7" s="665"/>
      <c r="AT7" s="665"/>
      <c r="AU7" s="665"/>
      <c r="AV7" s="556"/>
      <c r="AW7" s="556"/>
      <c r="AY7" s="109" t="s">
        <v>50</v>
      </c>
      <c r="AZ7" s="108" t="str">
        <f>CBCUST_N</f>
        <v>NA</v>
      </c>
      <c r="BA7" s="176" t="str">
        <f>PAYCUST_N</f>
        <v>NA</v>
      </c>
      <c r="BB7" s="43"/>
      <c r="BC7" s="43"/>
    </row>
    <row r="8" spans="1:71" ht="15.95" customHeight="1" thickBot="1">
      <c r="A8" s="665"/>
      <c r="B8" s="665"/>
      <c r="C8" s="665"/>
      <c r="D8" s="665"/>
      <c r="E8" s="665"/>
      <c r="AQ8" s="674" t="str">
        <f ca="1">PROJSTATUS_N</f>
        <v>Enter Measures</v>
      </c>
      <c r="AR8" s="674"/>
      <c r="AS8" s="674"/>
      <c r="AT8" s="674"/>
      <c r="AU8" s="674"/>
      <c r="AV8" s="558"/>
      <c r="AW8" s="558"/>
      <c r="AY8" s="109" t="s">
        <v>273</v>
      </c>
      <c r="AZ8" s="108" t="str">
        <f>CBPROJ_N</f>
        <v>NA</v>
      </c>
      <c r="BA8" s="176" t="str">
        <f>PAYPROJ_N</f>
        <v>NA</v>
      </c>
      <c r="BB8" s="43"/>
      <c r="BC8" s="43"/>
    </row>
    <row r="9" spans="1:71" s="79" customFormat="1" ht="15.95" customHeight="1">
      <c r="B9" s="101"/>
      <c r="C9" s="101"/>
      <c r="D9" s="101"/>
      <c r="E9" s="103"/>
      <c r="F9" s="102"/>
      <c r="G9" s="930" t="str">
        <f>N4S1</f>
        <v>HVAC</v>
      </c>
      <c r="H9" s="931"/>
      <c r="I9" s="931"/>
      <c r="J9" s="931"/>
      <c r="K9" s="930" t="str">
        <f>N4S2</f>
        <v>Motors and Drives</v>
      </c>
      <c r="L9" s="931"/>
      <c r="M9" s="931"/>
      <c r="N9" s="931"/>
      <c r="O9" s="925" t="str">
        <f>N4S3</f>
        <v>Compressed Air / Process</v>
      </c>
      <c r="P9" s="925"/>
      <c r="Q9" s="925"/>
      <c r="R9" s="925"/>
      <c r="S9" s="930" t="str">
        <f>N4S4</f>
        <v>Refrigeration</v>
      </c>
      <c r="T9" s="931"/>
      <c r="U9" s="931"/>
      <c r="V9" s="931"/>
      <c r="W9" s="930" t="str">
        <f>N4S5</f>
        <v>Water Heating / Food Services</v>
      </c>
      <c r="X9" s="931"/>
      <c r="Y9" s="931"/>
      <c r="Z9" s="931"/>
      <c r="AA9" s="930" t="str">
        <f>N4S6</f>
        <v>Miscellaneous</v>
      </c>
      <c r="AB9" s="931"/>
      <c r="AC9" s="931"/>
      <c r="AD9" s="931"/>
      <c r="AE9" s="101"/>
      <c r="AF9" s="101"/>
      <c r="AG9" s="101"/>
      <c r="AH9" s="101"/>
      <c r="AI9" s="101"/>
      <c r="AJ9" s="101"/>
      <c r="AK9" s="101"/>
      <c r="AL9" s="101"/>
      <c r="AM9" s="101"/>
      <c r="AN9" s="101"/>
      <c r="AO9" s="197"/>
      <c r="AP9" s="197"/>
      <c r="AQ9" s="197"/>
      <c r="AR9" s="197"/>
      <c r="AS9" s="197"/>
      <c r="AT9" s="197"/>
      <c r="AU9" s="197"/>
      <c r="AV9" s="197"/>
      <c r="AW9" s="197"/>
      <c r="AX9"/>
      <c r="AY9" s="107" t="s">
        <v>828</v>
      </c>
      <c r="AZ9" s="399" t="str">
        <f ca="1">NEWCONCODE</f>
        <v>IECC 2012</v>
      </c>
    </row>
    <row r="10" spans="1:71" s="79" customFormat="1" ht="15.95" customHeight="1">
      <c r="B10" s="80"/>
      <c r="C10" s="80"/>
      <c r="D10" s="80"/>
      <c r="E10"/>
      <c r="F10"/>
      <c r="G10" s="932"/>
      <c r="H10" s="932"/>
      <c r="I10" s="932"/>
      <c r="J10" s="932"/>
      <c r="K10" s="932"/>
      <c r="L10" s="932"/>
      <c r="M10" s="932"/>
      <c r="N10" s="932"/>
      <c r="O10" s="926"/>
      <c r="P10" s="926"/>
      <c r="Q10" s="926"/>
      <c r="R10" s="926"/>
      <c r="S10" s="932"/>
      <c r="T10" s="932"/>
      <c r="U10" s="932"/>
      <c r="V10" s="932"/>
      <c r="W10" s="932"/>
      <c r="X10" s="932"/>
      <c r="Y10" s="932"/>
      <c r="Z10" s="932"/>
      <c r="AA10" s="932"/>
      <c r="AB10" s="932"/>
      <c r="AC10" s="932"/>
      <c r="AD10" s="932"/>
      <c r="AE10" s="80"/>
      <c r="AO10"/>
      <c r="AP10"/>
      <c r="AQ10" s="80"/>
      <c r="AR10" s="80"/>
      <c r="AX10"/>
    </row>
    <row r="11" spans="1:71" ht="15.95" customHeight="1">
      <c r="B11" s="97"/>
      <c r="C11" s="97"/>
      <c r="D11" s="97"/>
      <c r="G11" s="932"/>
      <c r="H11" s="932"/>
      <c r="I11" s="932"/>
      <c r="J11" s="932"/>
      <c r="K11" s="932"/>
      <c r="L11" s="932"/>
      <c r="M11" s="932"/>
      <c r="N11" s="932"/>
      <c r="O11" s="926"/>
      <c r="P11" s="926"/>
      <c r="Q11" s="926"/>
      <c r="R11" s="926"/>
      <c r="S11" s="932"/>
      <c r="T11" s="932"/>
      <c r="U11" s="932"/>
      <c r="V11" s="932"/>
      <c r="W11" s="932"/>
      <c r="X11" s="932"/>
      <c r="Y11" s="932"/>
      <c r="Z11" s="932"/>
      <c r="AA11" s="932"/>
      <c r="AB11" s="932"/>
      <c r="AC11" s="932"/>
      <c r="AD11" s="932"/>
      <c r="AE11" s="97"/>
      <c r="AQ11" s="97"/>
      <c r="AR11" s="97"/>
    </row>
    <row r="12" spans="1:71" ht="15.95" customHeight="1">
      <c r="A12" s="77"/>
      <c r="B12" s="77"/>
      <c r="C12" s="77"/>
      <c r="D12" s="77"/>
      <c r="E12" s="77"/>
      <c r="R12" s="789">
        <f>SUM(AN18:AQ184)</f>
        <v>0</v>
      </c>
      <c r="S12" s="789"/>
      <c r="T12" s="789"/>
      <c r="U12" s="789"/>
      <c r="V12" s="789">
        <f ca="1">SUMIF(AN18:AQ184,"&gt;0",AH18:AJ184)</f>
        <v>0</v>
      </c>
      <c r="W12" s="789"/>
      <c r="X12" s="789"/>
      <c r="Y12" s="789"/>
      <c r="Z12" s="790">
        <f ca="1">SUMIF(AN18:AQ184,"&gt;0",AK18:AM184)</f>
        <v>0</v>
      </c>
      <c r="AA12" s="790"/>
      <c r="AB12" s="790"/>
      <c r="AC12" s="790"/>
    </row>
    <row r="13" spans="1:71" ht="15.95" customHeight="1">
      <c r="A13" s="77"/>
      <c r="B13" s="77"/>
      <c r="R13" s="789"/>
      <c r="S13" s="789"/>
      <c r="T13" s="789"/>
      <c r="U13" s="789"/>
      <c r="V13" s="789"/>
      <c r="W13" s="789"/>
      <c r="X13" s="789"/>
      <c r="Y13" s="789"/>
      <c r="Z13" s="790"/>
      <c r="AA13" s="790"/>
      <c r="AB13" s="790"/>
      <c r="AC13" s="790"/>
      <c r="AI13" s="786" t="str">
        <f>IF(IFERROR(MATCH("100% Incremental Cost", BP:BP, 0), FALSE), "The incentive for one or more measures is capped due to measure cost.", "")</f>
        <v/>
      </c>
      <c r="AJ13" s="786"/>
      <c r="AK13" s="786"/>
      <c r="AL13" s="786"/>
      <c r="AM13" s="786"/>
      <c r="AN13" s="786"/>
      <c r="AO13" s="786"/>
      <c r="AP13" s="786"/>
      <c r="AQ13" s="786"/>
    </row>
    <row r="14" spans="1:71" ht="15.95" customHeight="1">
      <c r="R14" s="793" t="s">
        <v>1204</v>
      </c>
      <c r="S14" s="793"/>
      <c r="T14" s="793"/>
      <c r="U14" s="793"/>
      <c r="V14" s="793" t="s">
        <v>4</v>
      </c>
      <c r="W14" s="793"/>
      <c r="X14" s="793"/>
      <c r="Y14" s="793"/>
      <c r="Z14" s="793" t="s">
        <v>776</v>
      </c>
      <c r="AA14" s="793"/>
      <c r="AB14" s="793"/>
      <c r="AC14" s="793"/>
      <c r="AI14" s="786"/>
      <c r="AJ14" s="786"/>
      <c r="AK14" s="786"/>
      <c r="AL14" s="786"/>
      <c r="AM14" s="786"/>
      <c r="AN14" s="786"/>
      <c r="AO14" s="786"/>
      <c r="AP14" s="786"/>
      <c r="AQ14" s="786"/>
    </row>
    <row r="15" spans="1:71" ht="15.95" customHeight="1"/>
    <row r="16" spans="1:71" ht="15.95" customHeight="1">
      <c r="C16" s="794" t="s">
        <v>811</v>
      </c>
      <c r="D16" s="794"/>
      <c r="E16" s="794"/>
      <c r="F16" s="794"/>
      <c r="G16" s="794"/>
      <c r="H16" s="794"/>
      <c r="I16" s="794"/>
      <c r="J16" s="794"/>
      <c r="K16" s="794"/>
      <c r="L16" s="794" t="s">
        <v>840</v>
      </c>
      <c r="M16" s="794"/>
      <c r="N16" s="794"/>
      <c r="O16" s="794"/>
      <c r="P16" s="794"/>
      <c r="Q16" s="794" t="s">
        <v>1971</v>
      </c>
      <c r="R16" s="794"/>
      <c r="S16" s="794"/>
      <c r="T16" s="794" t="s">
        <v>841</v>
      </c>
      <c r="U16" s="794"/>
      <c r="V16" s="794"/>
      <c r="W16" s="794"/>
      <c r="X16" s="794"/>
      <c r="Y16" s="794" t="s">
        <v>1972</v>
      </c>
      <c r="Z16" s="794"/>
      <c r="AA16" s="794"/>
      <c r="AB16" s="794" t="s">
        <v>1525</v>
      </c>
      <c r="AC16" s="794"/>
      <c r="AD16" s="794"/>
      <c r="AE16" s="794" t="s">
        <v>1526</v>
      </c>
      <c r="AF16" s="794"/>
      <c r="AG16" s="794"/>
      <c r="AH16" s="794" t="s">
        <v>832</v>
      </c>
      <c r="AI16" s="794"/>
      <c r="AJ16" s="794"/>
      <c r="AK16" s="794" t="s">
        <v>725</v>
      </c>
      <c r="AL16" s="794"/>
      <c r="AM16" s="794"/>
      <c r="AN16" s="794" t="s">
        <v>20</v>
      </c>
      <c r="AO16" s="794"/>
      <c r="AP16" s="794"/>
      <c r="AQ16" s="794"/>
      <c r="AY16" s="796" t="s">
        <v>48</v>
      </c>
      <c r="AZ16" s="796" t="s">
        <v>198</v>
      </c>
      <c r="BA16" s="796" t="s">
        <v>733</v>
      </c>
      <c r="BB16" s="796" t="s">
        <v>2039</v>
      </c>
      <c r="BC16" s="796" t="s">
        <v>850</v>
      </c>
      <c r="BD16" s="796" t="s">
        <v>300</v>
      </c>
      <c r="BE16" s="796" t="s">
        <v>822</v>
      </c>
      <c r="BF16" s="796" t="s">
        <v>25</v>
      </c>
      <c r="BG16" s="796" t="s">
        <v>836</v>
      </c>
      <c r="BH16" s="796" t="s">
        <v>838</v>
      </c>
      <c r="BI16" s="796" t="s">
        <v>1012</v>
      </c>
      <c r="BJ16" s="798" t="s">
        <v>1321</v>
      </c>
      <c r="BK16" s="798" t="s">
        <v>320</v>
      </c>
      <c r="BL16" s="796"/>
      <c r="BM16" s="796"/>
      <c r="BN16" s="796" t="s">
        <v>1240</v>
      </c>
      <c r="BO16" s="796" t="s">
        <v>22</v>
      </c>
      <c r="BP16" s="796" t="s">
        <v>837</v>
      </c>
      <c r="BQ16" s="796" t="s">
        <v>185</v>
      </c>
      <c r="BR16" s="798" t="s">
        <v>1324</v>
      </c>
      <c r="BS16" s="798" t="s">
        <v>1903</v>
      </c>
    </row>
    <row r="17" spans="1:71" ht="15.95" customHeight="1" thickBot="1">
      <c r="B17" s="21"/>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Y17" s="797"/>
      <c r="AZ17" s="797"/>
      <c r="BA17" s="797"/>
      <c r="BB17" s="797"/>
      <c r="BC17" s="797"/>
      <c r="BD17" s="797"/>
      <c r="BE17" s="797"/>
      <c r="BF17" s="797"/>
      <c r="BG17" s="797"/>
      <c r="BH17" s="797"/>
      <c r="BI17" s="797"/>
      <c r="BJ17" s="799"/>
      <c r="BK17" s="799"/>
      <c r="BL17" s="797"/>
      <c r="BM17" s="797"/>
      <c r="BN17" s="797"/>
      <c r="BO17" s="797"/>
      <c r="BP17" s="797"/>
      <c r="BQ17" s="797"/>
      <c r="BR17" s="799"/>
      <c r="BS17" s="799"/>
    </row>
    <row r="18" spans="1:71" ht="15.95" customHeight="1">
      <c r="B18" s="800">
        <v>1</v>
      </c>
      <c r="C18" s="1107"/>
      <c r="D18" s="1108"/>
      <c r="E18" s="1108"/>
      <c r="F18" s="1108"/>
      <c r="G18" s="1108"/>
      <c r="H18" s="1108"/>
      <c r="I18" s="1108"/>
      <c r="J18" s="1108"/>
      <c r="K18" s="1108"/>
      <c r="L18" s="1079"/>
      <c r="M18" s="1079"/>
      <c r="N18" s="1079"/>
      <c r="O18" s="1079"/>
      <c r="P18" s="1118"/>
      <c r="Q18" s="1116"/>
      <c r="R18" s="1076"/>
      <c r="S18" s="1076"/>
      <c r="T18" s="1079"/>
      <c r="U18" s="1079"/>
      <c r="V18" s="1079"/>
      <c r="W18" s="1079"/>
      <c r="X18" s="1118"/>
      <c r="Y18" s="1116"/>
      <c r="Z18" s="1076"/>
      <c r="AA18" s="1076"/>
      <c r="AB18" s="1109"/>
      <c r="AC18" s="1109"/>
      <c r="AD18" s="1110"/>
      <c r="AE18" s="1111"/>
      <c r="AF18" s="1112"/>
      <c r="AG18" s="1112"/>
      <c r="AH18" s="1114" t="str">
        <f>IF(OR(C18="",L18="",Q18="",T18="",Y18="",AB18="",AE18=""),"",ROUND(AE18-AB18,2))</f>
        <v/>
      </c>
      <c r="AI18" s="1114"/>
      <c r="AJ18" s="1115"/>
      <c r="AK18" s="831" t="str">
        <f>IF(OR(C18="",L18="",Q18="",T18="",Y18="",AB18="",AE18=""),"",IF(BD18-BE18&lt;=0,0,ROUND(BD18-BE18,0)))</f>
        <v/>
      </c>
      <c r="AL18" s="831"/>
      <c r="AM18" s="831"/>
      <c r="AN18" s="833" t="str">
        <f>IF(OR(C18="",L18="",Q18="",T18="",Y18="",AB18="",AE18=""),"",
IF(BQ18&lt;&gt;"",BQ18,IF(BS18&gt;0,BS18,
IF(ACTIVEBLOCK_N="Yes",ROUND(MIN(AH18*INCCOSTCAP,AK18*BLOCKBIDRATE),2),
ROUND(MIN(AH18*INCCOSTCAP,BJ18),2))
)))</f>
        <v/>
      </c>
      <c r="AO18" s="833"/>
      <c r="AP18" s="833"/>
      <c r="AQ18" s="833"/>
      <c r="AY18" s="835" t="str">
        <f>IFERROR(IF(OR(C18="",L18="",Q18="",T18="",Y18="",AB18="",AE18=""),"",ROUND(BR18/AH18,2)),0)</f>
        <v/>
      </c>
      <c r="AZ18" s="835" t="str">
        <f>IFERROR(AH18/N02S03F14/AK18,"")</f>
        <v/>
      </c>
      <c r="BA18" s="815" t="str">
        <f>IF(C18="","",INDEX(CMECOMPAIR_N[Unit of Measure],MATCH(C18,CMECOMPAIR_N[Proj Desc 1],0)))</f>
        <v/>
      </c>
      <c r="BB18" s="849" t="str">
        <f>IF(AK18&lt;&gt;"","Missing!","")</f>
        <v/>
      </c>
      <c r="BC18" s="849" t="str">
        <f>IF(AK18&lt;&gt;"","Missing!","")</f>
        <v/>
      </c>
      <c r="BD18" s="1065" t="str">
        <f t="shared" ref="BD18:BD24" si="0">IF(OR(C18="",L18="",Q18="",T18="",Y18="",AB18="",AE18=""),"",ROUND(Q18,0))</f>
        <v/>
      </c>
      <c r="BE18" s="1065" t="str">
        <f t="shared" ref="BE18:BE24" si="1">IF(OR(C18="",L18="",Q18="",T18="",Y18="",AB18="",AE18=""),"",ROUND(Y18,0))</f>
        <v/>
      </c>
      <c r="BF18" s="843" t="str">
        <f>IF(C18="","",IF(INDEX(CMECOMPAIR_N[EUL],MATCH(C18,CMECOMPAIR_N[Proj Desc 1],0))="","",INDEX(CMECOMPAIR_N[EUL],MATCH(C18,CMECOMPAIR_N[Proj Desc 1],0))))</f>
        <v/>
      </c>
      <c r="BG18" s="845" t="str">
        <f>IF(C18="","",IF(INDEX(CMECOMPAIR_N[End Use Category],MATCH(C18,CMECOMPAIR_N[Proj Desc 1],0))="","",INDEX(CMECOMPAIR_N[End Use Category],MATCH(C18,CMECOMPAIR_N[Proj Desc 1],0))))</f>
        <v/>
      </c>
      <c r="BH18" s="837" t="str">
        <f>IFERROR(IF(OR(C18="",L18="",Q18="",T18="",Y18="",AB18="",AE18=""),"",ROUND(AK18*INDEX(ENDUSEALL[Factor],MATCH(BG18,ENDUSEALL[End Use to Coincident Peak Demand Factors],0)),4)),"")</f>
        <v/>
      </c>
      <c r="BI18" s="874"/>
      <c r="BJ18" s="787" t="str">
        <f>IFERROR(ROUND(AK18*BK18,2),"")</f>
        <v/>
      </c>
      <c r="BK18" s="787" t="str">
        <f>_xlfn.LET(_xlpm.ROWS,MATCH(BG18,ENDUSEALL[End Use to Coincident Peak Demand Factors],0),IFERROR(INDEX(IF(AND(ACTIVEBONUS_N = TRUE,INDEX(ENDUSEALL[Bonus Rate ($/kWh)],_xlpm.ROWS)&lt;&gt;""),ENDUSEALL[Bonus Rate ($/kWh)],ENDUSEALL[Rate ($/kWh)]),_xlpm.ROWS),""))</f>
        <v/>
      </c>
      <c r="BL18" s="829"/>
      <c r="BM18" s="829"/>
      <c r="BN18" s="1069" t="str">
        <f>_xlfn.LET(_xlpm.BONUS_RATE,INDEX(ENDUSEALL[Bonus Rate ($/kWh)],MATCH(BG18,ENDUSEALL[End Use to Coincident Peak Demand Factors],0)),_xlpm.BASE_RATE,INDEX(ENDUSEALL[Rate ($/kWh)],MATCH(BG18,ENDUSEALL[End Use to Coincident Peak Demand Factors],0)),IFERROR(IF(OR(ACTIVEBONUS_N &lt;&gt; TRUE,ISNUMBER(AN18) = FALSE,BS18 &lt;&gt; ""),"",AN18-(AK18*_xlpm.BASE_RATE)),""))</f>
        <v/>
      </c>
      <c r="BO18" s="1070" t="str">
        <f>IF(OR(C18="",L18="",Q18="",T18="",Y18="",AB18="",AE18=""),"",IF(BQ18&lt;&gt;"",SPILLOVERNUMBER,INDEX(CMECOMPAIR_N[Measure Number],MATCH(C18,CMECOMPAIR_N[Proj Desc 1],0))))</f>
        <v/>
      </c>
      <c r="BP18" s="815" t="str">
        <f>IFERROR(
IF(BS18="",
IF(AND(ROUND(AN18/AH18,2)=INCCOSTCAP,BJ18/AH18&gt;INCCOSTCAP),
"100% Incremental Cost",
IF(BK18&lt;KWHRATEMIN,
"kWh Incentive Rate Min",
IF(BK18&gt;KWHRATEMAX,
"kWh Incentive Rate Cap",
IF(AN18=BN18,
"Bonus Incentive",
"kWh Incentive"
)))),""),
"")</f>
        <v/>
      </c>
      <c r="BQ18" s="815" t="str">
        <f ca="1">IFERROR(IF(EXPIRATION&lt;&gt;"",PROJSTATEXP,
IF(BS18&gt;0,"",
IF(BD18-BE18&lt;=0,MEASURESAVE,
IF(OR(N02S03F14="",N02S03F14="Select Rate Code",N02S03F14=0),MEASURERATE,
IF(AND(ISNUMBER(SEARCH("Others",C18)),OR(BF18="",BG18="")),MEASURESUBMIT,
IF(AH18&lt;=0,MEASUREINCR,
IF(PAYPROJ_N&lt;PAYBACKREQ,PROJECTSTATPAYBACK,
IF(CBPROJ_N&lt;CBREQ,PROJECTSTATCB,"")))))))),MEASURESUBMIT)</f>
        <v>Submit for Review</v>
      </c>
      <c r="BR18" s="787" t="str">
        <f>IFERROR(IF(OR(C18="",L18="",Q18="",T18="",Y18="",AB18="",AE18=""),"",
ROUND(((1+ELOSS)*((AK18*INDEX(ELECCB[NPV AEC $/kWh],MATCH(BF18,ELECCB[Year Number],1)))+(BH18*INDEX(ELECCB[NPV ACC $/kW],MATCH(BF18,ELECCB[Year Number],1))))),2)),0)</f>
        <v/>
      </c>
      <c r="BS18" s="853"/>
    </row>
    <row r="19" spans="1:71" ht="15.95" customHeight="1">
      <c r="B19" s="800"/>
      <c r="C19" s="1091"/>
      <c r="D19" s="1092"/>
      <c r="E19" s="1092"/>
      <c r="F19" s="1092"/>
      <c r="G19" s="1092"/>
      <c r="H19" s="1092"/>
      <c r="I19" s="1092"/>
      <c r="J19" s="1092"/>
      <c r="K19" s="1092"/>
      <c r="L19" s="1081"/>
      <c r="M19" s="1081"/>
      <c r="N19" s="1081"/>
      <c r="O19" s="1081"/>
      <c r="P19" s="1119"/>
      <c r="Q19" s="1117"/>
      <c r="R19" s="1078"/>
      <c r="S19" s="1078"/>
      <c r="T19" s="1081"/>
      <c r="U19" s="1081"/>
      <c r="V19" s="1081"/>
      <c r="W19" s="1081"/>
      <c r="X19" s="1119"/>
      <c r="Y19" s="1117"/>
      <c r="Z19" s="1078"/>
      <c r="AA19" s="1078"/>
      <c r="AB19" s="1093"/>
      <c r="AC19" s="1093"/>
      <c r="AD19" s="1094"/>
      <c r="AE19" s="1095"/>
      <c r="AF19" s="1096"/>
      <c r="AG19" s="1096"/>
      <c r="AH19" s="1105"/>
      <c r="AI19" s="1105"/>
      <c r="AJ19" s="1106"/>
      <c r="AK19" s="832"/>
      <c r="AL19" s="832"/>
      <c r="AM19" s="832"/>
      <c r="AN19" s="834"/>
      <c r="AO19" s="834"/>
      <c r="AP19" s="834"/>
      <c r="AQ19" s="834"/>
      <c r="AY19" s="836"/>
      <c r="AZ19" s="836"/>
      <c r="BA19" s="816"/>
      <c r="BB19" s="850"/>
      <c r="BC19" s="850"/>
      <c r="BD19" s="837"/>
      <c r="BE19" s="837"/>
      <c r="BF19" s="844"/>
      <c r="BG19" s="846"/>
      <c r="BH19" s="838"/>
      <c r="BI19" s="875"/>
      <c r="BJ19" s="788"/>
      <c r="BK19" s="788"/>
      <c r="BL19" s="830"/>
      <c r="BM19" s="830"/>
      <c r="BN19" s="1090"/>
      <c r="BO19" s="1071"/>
      <c r="BP19" s="816"/>
      <c r="BQ19" s="816"/>
      <c r="BR19" s="788"/>
      <c r="BS19" s="854"/>
    </row>
    <row r="20" spans="1:71" ht="15.95" customHeight="1">
      <c r="A20" s="76"/>
      <c r="B20" s="800">
        <v>2</v>
      </c>
      <c r="C20" s="1091"/>
      <c r="D20" s="1092"/>
      <c r="E20" s="1092"/>
      <c r="F20" s="1092"/>
      <c r="G20" s="1092"/>
      <c r="H20" s="1092"/>
      <c r="I20" s="1092"/>
      <c r="J20" s="1092"/>
      <c r="K20" s="1092"/>
      <c r="L20" s="1083"/>
      <c r="M20" s="1083"/>
      <c r="N20" s="1083"/>
      <c r="O20" s="1083"/>
      <c r="P20" s="1121"/>
      <c r="Q20" s="1120"/>
      <c r="R20" s="1086"/>
      <c r="S20" s="1086"/>
      <c r="T20" s="1083"/>
      <c r="U20" s="1083"/>
      <c r="V20" s="1083"/>
      <c r="W20" s="1083"/>
      <c r="X20" s="1121"/>
      <c r="Y20" s="1120"/>
      <c r="Z20" s="1086"/>
      <c r="AA20" s="1086"/>
      <c r="AB20" s="1093"/>
      <c r="AC20" s="1093"/>
      <c r="AD20" s="1094"/>
      <c r="AE20" s="1095"/>
      <c r="AF20" s="1096"/>
      <c r="AG20" s="1096"/>
      <c r="AH20" s="1103" t="str">
        <f t="shared" ref="AH20" si="2">IF(OR(C20="",L20="",Q20="",T20="",Y20="",AB20="",AE20=""),"",ROUND(AE20-AB20,2))</f>
        <v/>
      </c>
      <c r="AI20" s="1103"/>
      <c r="AJ20" s="1104"/>
      <c r="AK20" s="831" t="str">
        <f t="shared" ref="AK20" si="3">IF(OR(C20="",L20="",Q20="",T20="",Y20="",AB20="",AE20=""),"",IF(BD20-BE20&lt;=0,0,ROUND(BD20-BE20,0)))</f>
        <v/>
      </c>
      <c r="AL20" s="831"/>
      <c r="AM20" s="831"/>
      <c r="AN20" s="1097" t="str">
        <f>IF(OR(C20="",L20="",Q20="",T20="",Y20="",AB20="",AE20=""),"",
IF(BQ20&lt;&gt;"",BQ20,IF(BS20&gt;0,BS20,
IF(ACTIVEBLOCK_N="Yes",ROUND(MIN(AH20*INCCOSTCAP,AK20*BLOCKBIDRATE),2),
ROUND(MIN(AH20*INCCOSTCAP,BJ20),2))
)))</f>
        <v/>
      </c>
      <c r="AO20" s="1098"/>
      <c r="AP20" s="1098"/>
      <c r="AQ20" s="1099"/>
      <c r="AY20" s="835" t="str">
        <f t="shared" ref="AY20" si="4">IFERROR(IF(OR(C20="",L20="",Q20="",T20="",Y20="",AB20="",AE20=""),"",ROUND(BR20/AH20,2)),0)</f>
        <v/>
      </c>
      <c r="AZ20" s="835" t="str">
        <f>IFERROR(AH20/N02S03F14/AK20,"")</f>
        <v/>
      </c>
      <c r="BA20" s="815" t="str">
        <f>IF(C20="","",INDEX(CMECOMPAIR_N[Unit of Measure],MATCH(C20,CMECOMPAIR_N[Proj Desc 1],0)))</f>
        <v/>
      </c>
      <c r="BB20" s="849" t="str">
        <f t="shared" ref="BB20" si="5">IF(AK20&lt;&gt;"","Missing!","")</f>
        <v/>
      </c>
      <c r="BC20" s="849" t="str">
        <f t="shared" ref="BC20" si="6">IF(AK20&lt;&gt;"","Missing!","")</f>
        <v/>
      </c>
      <c r="BD20" s="1065" t="str">
        <f t="shared" si="0"/>
        <v/>
      </c>
      <c r="BE20" s="1065" t="str">
        <f t="shared" si="1"/>
        <v/>
      </c>
      <c r="BF20" s="843" t="str">
        <f>IF(C20="","",IF(INDEX(CMECOMPAIR_N[EUL],MATCH(C20,CMECOMPAIR_N[Proj Desc 1],0))="","",INDEX(CMECOMPAIR_N[EUL],MATCH(C20,CMECOMPAIR_N[Proj Desc 1],0))))</f>
        <v/>
      </c>
      <c r="BG20" s="845" t="str">
        <f>IF(C20="","",IF(INDEX(CMECOMPAIR_N[End Use Category],MATCH(C20,CMECOMPAIR_N[Proj Desc 1],0))="","",INDEX(CMECOMPAIR_N[End Use Category],MATCH(C20,CMECOMPAIR_N[Proj Desc 1],0))))</f>
        <v/>
      </c>
      <c r="BH20" s="837" t="str">
        <f>IFERROR(IF(OR(C20="",L20="",Q20="",T20="",Y20="",AB20="",AE20=""),"",ROUND(AK20*INDEX(ENDUSEALL[Factor],MATCH(BG20,ENDUSEALL[End Use to Coincident Peak Demand Factors],0)),4)),"")</f>
        <v/>
      </c>
      <c r="BI20" s="874"/>
      <c r="BJ20" s="787" t="str">
        <f>IFERROR(ROUND(AK20*BK20,2),"")</f>
        <v/>
      </c>
      <c r="BK20" s="1067" t="str">
        <f>_xlfn.LET(_xlpm.ROWS,MATCH(BG20,ENDUSEALL[End Use to Coincident Peak Demand Factors],0),IFERROR(INDEX(IF(AND(ACTIVEBONUS_N = TRUE,INDEX(ENDUSEALL[Bonus Rate ($/kWh)],_xlpm.ROWS)&lt;&gt;""),ENDUSEALL[Bonus Rate ($/kWh)],ENDUSEALL[Rate ($/kWh)]),_xlpm.ROWS),""))</f>
        <v/>
      </c>
      <c r="BL20" s="829"/>
      <c r="BM20" s="829"/>
      <c r="BN20" s="1068" t="str">
        <f>_xlfn.LET(_xlpm.BONUS_RATE,INDEX(ENDUSEALL[Bonus Rate ($/kWh)],MATCH(BG20,ENDUSEALL[End Use to Coincident Peak Demand Factors],0)),_xlpm.BASE_RATE,INDEX(ENDUSEALL[Rate ($/kWh)],MATCH(BG20,ENDUSEALL[End Use to Coincident Peak Demand Factors],0)),IFERROR(IF(OR(ACTIVEBONUS_N &lt;&gt; TRUE,ISNUMBER(AN20) = FALSE,BS20 &lt;&gt; ""),"",AN20-(AK20*_xlpm.BASE_RATE)),""))</f>
        <v/>
      </c>
      <c r="BO20" s="1070" t="str">
        <f>IF(OR(C20="",L20="",Q20="",T20="",Y20="",AB20="",AE20=""),"",IF(BQ20&lt;&gt;"",SPILLOVERNUMBER,INDEX(CMECOMPAIR_N[Measure Number],MATCH(C20,CMECOMPAIR_N[Proj Desc 1],0))))</f>
        <v/>
      </c>
      <c r="BP20" s="815" t="str">
        <f>IFERROR(
IF(BS20="",
IF(AND(ROUND(AN20/AH20,2)=INCCOSTCAP,BJ20/AH20&gt;INCCOSTCAP),
"100% Incremental Cost",
IF(BK20&lt;KWHRATEMIN,
"kWh Incentive Rate Min",
IF(BK20&gt;KWHRATEMAX,
"kWh Incentive Rate Cap",
IF(AN20=BN20,
"Bonus Incentive",
"kWh Incentive"
)))),""),
"")</f>
        <v/>
      </c>
      <c r="BQ20" s="815" t="str">
        <f ca="1">IFERROR(IF(EXPIRATION&lt;&gt;"",PROJSTATEXP,
IF(BS20&gt;0,"",
IF(BD20-BE20&lt;=0,MEASURESAVE,
IF(OR(N02S03F14="",N02S03F14="Select Rate Code",N02S03F14=0),MEASURERATE,
IF(AND(ISNUMBER(SEARCH("Others",C20)),OR(BF20="",BG20="")),MEASURESUBMIT,
IF(AH20&lt;=0,MEASUREINCR,
IF(PAYPROJ_N&lt;PAYBACKREQ,PROJECTSTATPAYBACK,
IF(CBPROJ_N&lt;CBREQ,PROJECTSTATCB,"")))))))),MEASURESUBMIT)</f>
        <v>Submit for Review</v>
      </c>
      <c r="BR20" s="787" t="str">
        <f>IFERROR(IF(OR(C20="",L20="",Q20="",T20="",Y20="",AB20="",AE20=""),"",
ROUND(((1+ELOSS)*((AK20*INDEX(ELECCB[NPV AEC $/kWh],MATCH(BF20,ELECCB[Year Number],1)))+(BH20*INDEX(ELECCB[NPV ACC $/kW],MATCH(BF20,ELECCB[Year Number],1))))),2)),0)</f>
        <v/>
      </c>
      <c r="BS20" s="853"/>
    </row>
    <row r="21" spans="1:71" ht="15.95" customHeight="1">
      <c r="B21" s="800"/>
      <c r="C21" s="1091"/>
      <c r="D21" s="1092"/>
      <c r="E21" s="1092"/>
      <c r="F21" s="1092"/>
      <c r="G21" s="1092"/>
      <c r="H21" s="1092"/>
      <c r="I21" s="1092"/>
      <c r="J21" s="1092"/>
      <c r="K21" s="1092"/>
      <c r="L21" s="1081"/>
      <c r="M21" s="1081"/>
      <c r="N21" s="1081"/>
      <c r="O21" s="1081"/>
      <c r="P21" s="1119"/>
      <c r="Q21" s="1117"/>
      <c r="R21" s="1078"/>
      <c r="S21" s="1078"/>
      <c r="T21" s="1081"/>
      <c r="U21" s="1081"/>
      <c r="V21" s="1081"/>
      <c r="W21" s="1081"/>
      <c r="X21" s="1119"/>
      <c r="Y21" s="1117"/>
      <c r="Z21" s="1078"/>
      <c r="AA21" s="1078"/>
      <c r="AB21" s="1093"/>
      <c r="AC21" s="1093"/>
      <c r="AD21" s="1094"/>
      <c r="AE21" s="1095"/>
      <c r="AF21" s="1096"/>
      <c r="AG21" s="1096"/>
      <c r="AH21" s="1105"/>
      <c r="AI21" s="1105"/>
      <c r="AJ21" s="1106"/>
      <c r="AK21" s="832"/>
      <c r="AL21" s="832"/>
      <c r="AM21" s="832"/>
      <c r="AN21" s="1100"/>
      <c r="AO21" s="1101"/>
      <c r="AP21" s="1101"/>
      <c r="AQ21" s="1102"/>
      <c r="AY21" s="836"/>
      <c r="AZ21" s="836"/>
      <c r="BA21" s="816"/>
      <c r="BB21" s="850"/>
      <c r="BC21" s="850"/>
      <c r="BD21" s="837"/>
      <c r="BE21" s="837"/>
      <c r="BF21" s="844"/>
      <c r="BG21" s="846"/>
      <c r="BH21" s="838"/>
      <c r="BI21" s="875"/>
      <c r="BJ21" s="788"/>
      <c r="BK21" s="787"/>
      <c r="BL21" s="830"/>
      <c r="BM21" s="830"/>
      <c r="BN21" s="1069"/>
      <c r="BO21" s="1071"/>
      <c r="BP21" s="816"/>
      <c r="BQ21" s="816"/>
      <c r="BR21" s="788"/>
      <c r="BS21" s="854"/>
    </row>
    <row r="22" spans="1:71" s="21" customFormat="1" ht="15.95" customHeight="1">
      <c r="A22" s="111"/>
      <c r="B22" s="800">
        <v>3</v>
      </c>
      <c r="C22" s="1091"/>
      <c r="D22" s="1092"/>
      <c r="E22" s="1092"/>
      <c r="F22" s="1092"/>
      <c r="G22" s="1092"/>
      <c r="H22" s="1092"/>
      <c r="I22" s="1092"/>
      <c r="J22" s="1092"/>
      <c r="K22" s="1092"/>
      <c r="L22" s="1083"/>
      <c r="M22" s="1083"/>
      <c r="N22" s="1083"/>
      <c r="O22" s="1083"/>
      <c r="P22" s="1121"/>
      <c r="Q22" s="1120"/>
      <c r="R22" s="1086"/>
      <c r="S22" s="1086"/>
      <c r="T22" s="1083"/>
      <c r="U22" s="1083"/>
      <c r="V22" s="1083"/>
      <c r="W22" s="1083"/>
      <c r="X22" s="1121"/>
      <c r="Y22" s="1120"/>
      <c r="Z22" s="1086"/>
      <c r="AA22" s="1086"/>
      <c r="AB22" s="1093"/>
      <c r="AC22" s="1093"/>
      <c r="AD22" s="1094"/>
      <c r="AE22" s="1095"/>
      <c r="AF22" s="1096"/>
      <c r="AG22" s="1096"/>
      <c r="AH22" s="1103" t="str">
        <f t="shared" ref="AH22" si="7">IF(OR(C22="",L22="",Q22="",T22="",Y22="",AB22="",AE22=""),"",ROUND(AE22-AB22,2))</f>
        <v/>
      </c>
      <c r="AI22" s="1103"/>
      <c r="AJ22" s="1104"/>
      <c r="AK22" s="831" t="str">
        <f t="shared" ref="AK22" si="8">IF(OR(C22="",L22="",Q22="",T22="",Y22="",AB22="",AE22=""),"",IF(BD22-BE22&lt;=0,0,ROUND(BD22-BE22,0)))</f>
        <v/>
      </c>
      <c r="AL22" s="831"/>
      <c r="AM22" s="831"/>
      <c r="AN22" s="1097" t="str">
        <f>IF(OR(C22="",L22="",Q22="",T22="",Y22="",AB22="",AE22=""),"",
IF(BQ22&lt;&gt;"",BQ22,IF(BS22&gt;0,BS22,
IF(ACTIVEBLOCK_N="Yes",ROUND(MIN(AH22*INCCOSTCAP,AK22*BLOCKBIDRATE),2),
ROUND(MIN(AH22*INCCOSTCAP,BJ22),2))
)))</f>
        <v/>
      </c>
      <c r="AO22" s="1098"/>
      <c r="AP22" s="1098"/>
      <c r="AQ22" s="1099"/>
      <c r="AR22"/>
      <c r="AS22"/>
      <c r="AT22"/>
      <c r="AU22"/>
      <c r="AV22"/>
      <c r="AW22"/>
      <c r="AX22"/>
      <c r="AY22" s="835" t="str">
        <f t="shared" ref="AY22" si="9">IFERROR(IF(OR(C22="",L22="",Q22="",T22="",Y22="",AB22="",AE22=""),"",ROUND(BR22/AH22,2)),0)</f>
        <v/>
      </c>
      <c r="AZ22" s="835" t="str">
        <f>IFERROR(AH22/N02S03F14/AK22,"")</f>
        <v/>
      </c>
      <c r="BA22" s="815" t="str">
        <f>IF(C22="","",INDEX(CMECOMPAIR_N[Unit of Measure],MATCH(C22,CMECOMPAIR_N[Proj Desc 1],0)))</f>
        <v/>
      </c>
      <c r="BB22" s="849" t="str">
        <f t="shared" ref="BB22" si="10">IF(AK22&lt;&gt;"","Missing!","")</f>
        <v/>
      </c>
      <c r="BC22" s="849" t="str">
        <f t="shared" ref="BC22" si="11">IF(AK22&lt;&gt;"","Missing!","")</f>
        <v/>
      </c>
      <c r="BD22" s="1065" t="str">
        <f t="shared" si="0"/>
        <v/>
      </c>
      <c r="BE22" s="1065" t="str">
        <f t="shared" si="1"/>
        <v/>
      </c>
      <c r="BF22" s="843" t="str">
        <f>IF(C22="","",IF(INDEX(CMECOMPAIR_N[EUL],MATCH(C22,CMECOMPAIR_N[Proj Desc 1],0))="","",INDEX(CMECOMPAIR_N[EUL],MATCH(C22,CMECOMPAIR_N[Proj Desc 1],0))))</f>
        <v/>
      </c>
      <c r="BG22" s="845" t="str">
        <f>IF(C22="","",IF(INDEX(CMECOMPAIR_N[End Use Category],MATCH(C22,CMECOMPAIR_N[Proj Desc 1],0))="","",INDEX(CMECOMPAIR_N[End Use Category],MATCH(C22,CMECOMPAIR_N[Proj Desc 1],0))))</f>
        <v/>
      </c>
      <c r="BH22" s="837" t="str">
        <f>IFERROR(IF(OR(C22="",L22="",Q22="",T22="",Y22="",AB22="",AE22=""),"",ROUND(AK22*INDEX(ENDUSEALL[Factor],MATCH(BG22,ENDUSEALL[End Use to Coincident Peak Demand Factors],0)),4)),"")</f>
        <v/>
      </c>
      <c r="BI22" s="874"/>
      <c r="BJ22" s="787" t="str">
        <f>IFERROR(ROUND(AK22*BK22,2),"")</f>
        <v/>
      </c>
      <c r="BK22" s="1067" t="str">
        <f>_xlfn.LET(_xlpm.ROWS,MATCH(BG22,ENDUSEALL[End Use to Coincident Peak Demand Factors],0),IFERROR(INDEX(IF(AND(ACTIVEBONUS_N = TRUE,INDEX(ENDUSEALL[Bonus Rate ($/kWh)],_xlpm.ROWS)&lt;&gt;""),ENDUSEALL[Bonus Rate ($/kWh)],ENDUSEALL[Rate ($/kWh)]),_xlpm.ROWS),""))</f>
        <v/>
      </c>
      <c r="BL22" s="829"/>
      <c r="BM22" s="829"/>
      <c r="BN22" s="1068" t="str">
        <f>_xlfn.LET(_xlpm.BONUS_RATE,INDEX(ENDUSEALL[Bonus Rate ($/kWh)],MATCH(BG22,ENDUSEALL[End Use to Coincident Peak Demand Factors],0)),_xlpm.BASE_RATE,INDEX(ENDUSEALL[Rate ($/kWh)],MATCH(BG22,ENDUSEALL[End Use to Coincident Peak Demand Factors],0)),IFERROR(IF(OR(ACTIVEBONUS_N &lt;&gt; TRUE,ISNUMBER(AN22) = FALSE,BS22 &lt;&gt; ""),"",AN22-(AK22*_xlpm.BASE_RATE)),""))</f>
        <v/>
      </c>
      <c r="BO22" s="1070" t="str">
        <f>IF(OR(C22="",L22="",Q22="",T22="",Y22="",AB22="",AE22=""),"",IF(BQ22&lt;&gt;"",SPILLOVERNUMBER,INDEX(CMECOMPAIR_N[Measure Number],MATCH(C22,CMECOMPAIR_N[Proj Desc 1],0))))</f>
        <v/>
      </c>
      <c r="BP22" s="815" t="str">
        <f>IFERROR(
IF(BS22="",
IF(AND(ROUND(AN22/AH22,2)=INCCOSTCAP,BJ22/AH22&gt;INCCOSTCAP),
"100% Incremental Cost",
IF(BK22&lt;KWHRATEMIN,
"kWh Incentive Rate Min",
IF(BK22&gt;KWHRATEMAX,
"kWh Incentive Rate Cap",
IF(AN22=BN22,
"Bonus Incentive",
"kWh Incentive"
)))),""),
"")</f>
        <v/>
      </c>
      <c r="BQ22" s="815" t="str">
        <f ca="1">IFERROR(IF(EXPIRATION&lt;&gt;"",PROJSTATEXP,
IF(BS22&gt;0,"",
IF(BD22-BE22&lt;=0,MEASURESAVE,
IF(OR(N02S03F14="",N02S03F14="Select Rate Code",N02S03F14=0),MEASURERATE,
IF(AND(ISNUMBER(SEARCH("Others",C22)),OR(BF22="",BG22="")),MEASURESUBMIT,
IF(AH22&lt;=0,MEASUREINCR,
IF(PAYPROJ_N&lt;PAYBACKREQ,PROJECTSTATPAYBACK,
IF(CBPROJ_N&lt;CBREQ,PROJECTSTATCB,"")))))))),MEASURESUBMIT)</f>
        <v>Submit for Review</v>
      </c>
      <c r="BR22" s="787" t="str">
        <f>IFERROR(IF(OR(C22="",L22="",Q22="",T22="",Y22="",AB22="",AE22=""),"",
ROUND(((1+ELOSS)*((AK22*INDEX(ELECCB[NPV AEC $/kWh],MATCH(BF22,ELECCB[Year Number],1)))+(BH22*INDEX(ELECCB[NPV ACC $/kW],MATCH(BF22,ELECCB[Year Number],1))))),2)),0)</f>
        <v/>
      </c>
      <c r="BS22" s="853"/>
    </row>
    <row r="23" spans="1:71" s="21" customFormat="1" ht="15.95" customHeight="1">
      <c r="A23" s="111"/>
      <c r="B23" s="800"/>
      <c r="C23" s="1091"/>
      <c r="D23" s="1092"/>
      <c r="E23" s="1092"/>
      <c r="F23" s="1092"/>
      <c r="G23" s="1092"/>
      <c r="H23" s="1092"/>
      <c r="I23" s="1092"/>
      <c r="J23" s="1092"/>
      <c r="K23" s="1092"/>
      <c r="L23" s="1081"/>
      <c r="M23" s="1081"/>
      <c r="N23" s="1081"/>
      <c r="O23" s="1081"/>
      <c r="P23" s="1119"/>
      <c r="Q23" s="1117"/>
      <c r="R23" s="1078"/>
      <c r="S23" s="1078"/>
      <c r="T23" s="1081"/>
      <c r="U23" s="1081"/>
      <c r="V23" s="1081"/>
      <c r="W23" s="1081"/>
      <c r="X23" s="1119"/>
      <c r="Y23" s="1117"/>
      <c r="Z23" s="1078"/>
      <c r="AA23" s="1078"/>
      <c r="AB23" s="1093"/>
      <c r="AC23" s="1093"/>
      <c r="AD23" s="1094"/>
      <c r="AE23" s="1095"/>
      <c r="AF23" s="1096"/>
      <c r="AG23" s="1096"/>
      <c r="AH23" s="1105"/>
      <c r="AI23" s="1105"/>
      <c r="AJ23" s="1106"/>
      <c r="AK23" s="832"/>
      <c r="AL23" s="832"/>
      <c r="AM23" s="832"/>
      <c r="AN23" s="1100"/>
      <c r="AO23" s="1101"/>
      <c r="AP23" s="1101"/>
      <c r="AQ23" s="1102"/>
      <c r="AR23"/>
      <c r="AS23"/>
      <c r="AT23"/>
      <c r="AU23"/>
      <c r="AV23"/>
      <c r="AW23"/>
      <c r="AX23"/>
      <c r="AY23" s="836"/>
      <c r="AZ23" s="836"/>
      <c r="BA23" s="816"/>
      <c r="BB23" s="850"/>
      <c r="BC23" s="850"/>
      <c r="BD23" s="837"/>
      <c r="BE23" s="837"/>
      <c r="BF23" s="844"/>
      <c r="BG23" s="846"/>
      <c r="BH23" s="838"/>
      <c r="BI23" s="875"/>
      <c r="BJ23" s="788"/>
      <c r="BK23" s="787"/>
      <c r="BL23" s="830"/>
      <c r="BM23" s="830"/>
      <c r="BN23" s="1069"/>
      <c r="BO23" s="1071"/>
      <c r="BP23" s="816"/>
      <c r="BQ23" s="816"/>
      <c r="BR23" s="788"/>
      <c r="BS23" s="854"/>
    </row>
    <row r="24" spans="1:71" ht="15.95" customHeight="1">
      <c r="B24" s="800">
        <v>4</v>
      </c>
      <c r="C24" s="1091"/>
      <c r="D24" s="1092"/>
      <c r="E24" s="1092"/>
      <c r="F24" s="1092"/>
      <c r="G24" s="1092"/>
      <c r="H24" s="1092"/>
      <c r="I24" s="1092"/>
      <c r="J24" s="1092"/>
      <c r="K24" s="1092"/>
      <c r="L24" s="1083"/>
      <c r="M24" s="1083"/>
      <c r="N24" s="1083"/>
      <c r="O24" s="1083"/>
      <c r="P24" s="1121"/>
      <c r="Q24" s="1120"/>
      <c r="R24" s="1086"/>
      <c r="S24" s="1086"/>
      <c r="T24" s="1083"/>
      <c r="U24" s="1083"/>
      <c r="V24" s="1083"/>
      <c r="W24" s="1083"/>
      <c r="X24" s="1121"/>
      <c r="Y24" s="1120"/>
      <c r="Z24" s="1086"/>
      <c r="AA24" s="1086"/>
      <c r="AB24" s="1093"/>
      <c r="AC24" s="1093"/>
      <c r="AD24" s="1094"/>
      <c r="AE24" s="1095"/>
      <c r="AF24" s="1096"/>
      <c r="AG24" s="1096"/>
      <c r="AH24" s="1103" t="str">
        <f t="shared" ref="AH24" si="12">IF(OR(C24="",L24="",Q24="",T24="",Y24="",AB24="",AE24=""),"",ROUND(AE24-AB24,2))</f>
        <v/>
      </c>
      <c r="AI24" s="1103"/>
      <c r="AJ24" s="1104"/>
      <c r="AK24" s="831" t="str">
        <f t="shared" ref="AK24" si="13">IF(OR(C24="",L24="",Q24="",T24="",Y24="",AB24="",AE24=""),"",IF(BD24-BE24&lt;=0,0,ROUND(BD24-BE24,0)))</f>
        <v/>
      </c>
      <c r="AL24" s="831"/>
      <c r="AM24" s="831"/>
      <c r="AN24" s="1097" t="str">
        <f>IF(OR(C24="",L24="",Q24="",T24="",Y24="",AB24="",AE24=""),"",
IF(BQ24&lt;&gt;"",BQ24,IF(BS24&gt;0,BS24,
IF(ACTIVEBLOCK_N="Yes",ROUND(MIN(AH24*INCCOSTCAP,AK24*BLOCKBIDRATE),2),
ROUND(MIN(AH24*INCCOSTCAP,BJ24),2))
)))</f>
        <v/>
      </c>
      <c r="AO24" s="1098"/>
      <c r="AP24" s="1098"/>
      <c r="AQ24" s="1099"/>
      <c r="AY24" s="835" t="str">
        <f t="shared" ref="AY24" si="14">IFERROR(IF(OR(C24="",L24="",Q24="",T24="",Y24="",AB24="",AE24=""),"",ROUND(BR24/AH24,2)),0)</f>
        <v/>
      </c>
      <c r="AZ24" s="835" t="str">
        <f>IFERROR(AH24/N02S03F14/AK24,"")</f>
        <v/>
      </c>
      <c r="BA24" s="815" t="str">
        <f>IF(C24="","",INDEX(CMECOMPAIR_N[Unit of Measure],MATCH(C24,CMECOMPAIR_N[Proj Desc 1],0)))</f>
        <v/>
      </c>
      <c r="BB24" s="849" t="str">
        <f t="shared" ref="BB24" si="15">IF(AK24&lt;&gt;"","Missing!","")</f>
        <v/>
      </c>
      <c r="BC24" s="849" t="str">
        <f t="shared" ref="BC24" si="16">IF(AK24&lt;&gt;"","Missing!","")</f>
        <v/>
      </c>
      <c r="BD24" s="1065" t="str">
        <f t="shared" si="0"/>
        <v/>
      </c>
      <c r="BE24" s="1065" t="str">
        <f t="shared" si="1"/>
        <v/>
      </c>
      <c r="BF24" s="843" t="str">
        <f>IF(C24="","",IF(INDEX(CMECOMPAIR_N[EUL],MATCH(C24,CMECOMPAIR_N[Proj Desc 1],0))="","",INDEX(CMECOMPAIR_N[EUL],MATCH(C24,CMECOMPAIR_N[Proj Desc 1],0))))</f>
        <v/>
      </c>
      <c r="BG24" s="845" t="str">
        <f>IF(C24="","",IF(INDEX(CMECOMPAIR_N[End Use Category],MATCH(C24,CMECOMPAIR_N[Proj Desc 1],0))="","",INDEX(CMECOMPAIR_N[End Use Category],MATCH(C24,CMECOMPAIR_N[Proj Desc 1],0))))</f>
        <v/>
      </c>
      <c r="BH24" s="837" t="str">
        <f>IFERROR(IF(OR(C24="",L24="",Q24="",T24="",Y24="",AB24="",AE24=""),"",ROUND(AK24*INDEX(ENDUSEALL[Factor],MATCH(BG24,ENDUSEALL[End Use to Coincident Peak Demand Factors],0)),4)),"")</f>
        <v/>
      </c>
      <c r="BI24" s="874"/>
      <c r="BJ24" s="787" t="str">
        <f>IFERROR(ROUND(AK24*BK24,2),"")</f>
        <v/>
      </c>
      <c r="BK24" s="1067" t="str">
        <f>_xlfn.LET(_xlpm.ROWS,MATCH(BG24,ENDUSEALL[End Use to Coincident Peak Demand Factors],0),IFERROR(INDEX(IF(AND(ACTIVEBONUS_N = TRUE,INDEX(ENDUSEALL[Bonus Rate ($/kWh)],_xlpm.ROWS)&lt;&gt;""),ENDUSEALL[Bonus Rate ($/kWh)],ENDUSEALL[Rate ($/kWh)]),_xlpm.ROWS),""))</f>
        <v/>
      </c>
      <c r="BL24" s="829"/>
      <c r="BM24" s="829"/>
      <c r="BN24" s="1068" t="str">
        <f>_xlfn.LET(_xlpm.BONUS_RATE,INDEX(ENDUSEALL[Bonus Rate ($/kWh)],MATCH(BG24,ENDUSEALL[End Use to Coincident Peak Demand Factors],0)),_xlpm.BASE_RATE,INDEX(ENDUSEALL[Rate ($/kWh)],MATCH(BG24,ENDUSEALL[End Use to Coincident Peak Demand Factors],0)),IFERROR(IF(OR(ACTIVEBONUS_N &lt;&gt; TRUE,ISNUMBER(AN24) = FALSE,BS24 &lt;&gt; ""),"",AN24-(AK24*_xlpm.BASE_RATE)),""))</f>
        <v/>
      </c>
      <c r="BO24" s="1070" t="str">
        <f>IF(OR(C24="",L24="",Q24="",T24="",Y24="",AB24="",AE24=""),"",IF(BQ24&lt;&gt;"",SPILLOVERNUMBER,INDEX(CMECOMPAIR_N[Measure Number],MATCH(C24,CMECOMPAIR_N[Proj Desc 1],0))))</f>
        <v/>
      </c>
      <c r="BP24" s="815" t="str">
        <f>IFERROR(
IF(BS24="",
IF(AND(ROUND(AN24/AH24,2)=INCCOSTCAP,BJ24/AH24&gt;INCCOSTCAP),
"100% Incremental Cost",
IF(BK24&lt;KWHRATEMIN,
"kWh Incentive Rate Min",
IF(BK24&gt;KWHRATEMAX,
"kWh Incentive Rate Cap",
IF(AN24=BN24,
"Bonus Incentive",
"kWh Incentive"
)))),""),
"")</f>
        <v/>
      </c>
      <c r="BQ24" s="815" t="str">
        <f ca="1">IFERROR(IF(EXPIRATION&lt;&gt;"",PROJSTATEXP,
IF(BS24&gt;0,"",
IF(BD24-BE24&lt;=0,MEASURESAVE,
IF(OR(N02S03F14="",N02S03F14="Select Rate Code",N02S03F14=0),MEASURERATE,
IF(AND(ISNUMBER(SEARCH("Others",C24)),OR(BF24="",BG24="")),MEASURESUBMIT,
IF(AH24&lt;=0,MEASUREINCR,
IF(PAYPROJ_N&lt;PAYBACKREQ,PROJECTSTATPAYBACK,
IF(CBPROJ_N&lt;CBREQ,PROJECTSTATCB,"")))))))),MEASURESUBMIT)</f>
        <v>Submit for Review</v>
      </c>
      <c r="BR24" s="787" t="str">
        <f>IFERROR(IF(OR(C24="",L24="",Q24="",T24="",Y24="",AB24="",AE24=""),"",
ROUND(((1+ELOSS)*((AK24*INDEX(ELECCB[NPV AEC $/kWh],MATCH(BF24,ELECCB[Year Number],1)))+(BH24*INDEX(ELECCB[NPV ACC $/kW],MATCH(BF24,ELECCB[Year Number],1))))),2)),0)</f>
        <v/>
      </c>
      <c r="BS24" s="853"/>
    </row>
    <row r="25" spans="1:71" ht="15.95" customHeight="1">
      <c r="A25" s="76"/>
      <c r="B25" s="800"/>
      <c r="C25" s="1091"/>
      <c r="D25" s="1092"/>
      <c r="E25" s="1092"/>
      <c r="F25" s="1092"/>
      <c r="G25" s="1092"/>
      <c r="H25" s="1092"/>
      <c r="I25" s="1092"/>
      <c r="J25" s="1092"/>
      <c r="K25" s="1092"/>
      <c r="L25" s="1081"/>
      <c r="M25" s="1081"/>
      <c r="N25" s="1081"/>
      <c r="O25" s="1081"/>
      <c r="P25" s="1119"/>
      <c r="Q25" s="1117"/>
      <c r="R25" s="1078"/>
      <c r="S25" s="1078"/>
      <c r="T25" s="1081"/>
      <c r="U25" s="1081"/>
      <c r="V25" s="1081"/>
      <c r="W25" s="1081"/>
      <c r="X25" s="1119"/>
      <c r="Y25" s="1117"/>
      <c r="Z25" s="1078"/>
      <c r="AA25" s="1078"/>
      <c r="AB25" s="1093"/>
      <c r="AC25" s="1093"/>
      <c r="AD25" s="1094"/>
      <c r="AE25" s="1095"/>
      <c r="AF25" s="1096"/>
      <c r="AG25" s="1096"/>
      <c r="AH25" s="1105"/>
      <c r="AI25" s="1105"/>
      <c r="AJ25" s="1106"/>
      <c r="AK25" s="832"/>
      <c r="AL25" s="832"/>
      <c r="AM25" s="832"/>
      <c r="AN25" s="1100"/>
      <c r="AO25" s="1101"/>
      <c r="AP25" s="1101"/>
      <c r="AQ25" s="1102"/>
      <c r="AY25" s="836"/>
      <c r="AZ25" s="836"/>
      <c r="BA25" s="816"/>
      <c r="BB25" s="850"/>
      <c r="BC25" s="850"/>
      <c r="BD25" s="837"/>
      <c r="BE25" s="837"/>
      <c r="BF25" s="844"/>
      <c r="BG25" s="846"/>
      <c r="BH25" s="838"/>
      <c r="BI25" s="875"/>
      <c r="BJ25" s="788"/>
      <c r="BK25" s="787"/>
      <c r="BL25" s="830"/>
      <c r="BM25" s="830"/>
      <c r="BN25" s="1069"/>
      <c r="BO25" s="1071"/>
      <c r="BP25" s="816"/>
      <c r="BQ25" s="816"/>
      <c r="BR25" s="788"/>
      <c r="BS25" s="854"/>
    </row>
    <row r="26" spans="1:71" ht="15.95" customHeight="1">
      <c r="B26" s="800">
        <v>5</v>
      </c>
      <c r="C26" s="1091"/>
      <c r="D26" s="1092"/>
      <c r="E26" s="1092"/>
      <c r="F26" s="1092"/>
      <c r="G26" s="1092"/>
      <c r="H26" s="1092"/>
      <c r="I26" s="1092"/>
      <c r="J26" s="1092"/>
      <c r="K26" s="1092"/>
      <c r="L26" s="1083"/>
      <c r="M26" s="1083"/>
      <c r="N26" s="1083"/>
      <c r="O26" s="1083"/>
      <c r="P26" s="1121"/>
      <c r="Q26" s="1120"/>
      <c r="R26" s="1086"/>
      <c r="S26" s="1086"/>
      <c r="T26" s="1083"/>
      <c r="U26" s="1083"/>
      <c r="V26" s="1083"/>
      <c r="W26" s="1083"/>
      <c r="X26" s="1121"/>
      <c r="Y26" s="1120"/>
      <c r="Z26" s="1086"/>
      <c r="AA26" s="1086"/>
      <c r="AB26" s="1093"/>
      <c r="AC26" s="1093"/>
      <c r="AD26" s="1094"/>
      <c r="AE26" s="1095"/>
      <c r="AF26" s="1096"/>
      <c r="AG26" s="1096"/>
      <c r="AH26" s="1103" t="str">
        <f t="shared" ref="AH26" si="17">IF(OR(C26="",L26="",Q26="",T26="",Y26="",AB26="",AE26=""),"",ROUND(AE26-AB26,2))</f>
        <v/>
      </c>
      <c r="AI26" s="1103"/>
      <c r="AJ26" s="1104"/>
      <c r="AK26" s="831" t="str">
        <f t="shared" ref="AK26" si="18">IF(OR(C26="",L26="",Q26="",T26="",Y26="",AB26="",AE26=""),"",IF(BD26-BE26&lt;=0,0,ROUND(BD26-BE26,0)))</f>
        <v/>
      </c>
      <c r="AL26" s="831"/>
      <c r="AM26" s="831"/>
      <c r="AN26" s="1097" t="str">
        <f>IF(OR(C26="",L26="",Q26="",T26="",Y26="",AB26="",AE26=""),"",
IF(BQ26&lt;&gt;"",BQ26,IF(BS26&gt;0,BS26,
IF(ACTIVEBLOCK_N="Yes",ROUND(MIN(AH26*INCCOSTCAP,AK26*BLOCKBIDRATE),2),
ROUND(MIN(AH26*INCCOSTCAP,BJ26),2))
)))</f>
        <v/>
      </c>
      <c r="AO26" s="1098"/>
      <c r="AP26" s="1098"/>
      <c r="AQ26" s="1099"/>
      <c r="AY26" s="835" t="str">
        <f t="shared" ref="AY26" si="19">IFERROR(IF(OR(C26="",L26="",Q26="",T26="",Y26="",AB26="",AE26=""),"",ROUND(BR26/AH26,2)),0)</f>
        <v/>
      </c>
      <c r="AZ26" s="835" t="str">
        <f>IFERROR(AH26/N02S03F14/AK26,"")</f>
        <v/>
      </c>
      <c r="BA26" s="815" t="str">
        <f>IF(C26="","",INDEX(CMECOMPAIR_N[Unit of Measure],MATCH(C26,CMECOMPAIR_N[Proj Desc 1],0)))</f>
        <v/>
      </c>
      <c r="BB26" s="849" t="str">
        <f t="shared" ref="BB26" si="20">IF(AK26&lt;&gt;"","Missing!","")</f>
        <v/>
      </c>
      <c r="BC26" s="849" t="str">
        <f t="shared" ref="BC26" si="21">IF(AK26&lt;&gt;"","Missing!","")</f>
        <v/>
      </c>
      <c r="BD26" s="1065" t="str">
        <f t="shared" ref="BD26" si="22">IF(OR(C26="",L26="",Q26="",T26="",Y26="",AB26="",AE26=""),"",ROUND(Q26,0))</f>
        <v/>
      </c>
      <c r="BE26" s="1065" t="str">
        <f t="shared" ref="BE26" si="23">IF(OR(C26="",L26="",Q26="",T26="",Y26="",AB26="",AE26=""),"",ROUND(Y26,0))</f>
        <v/>
      </c>
      <c r="BF26" s="843" t="str">
        <f>IF(C26="","",IF(INDEX(CMECOMPAIR_N[EUL],MATCH(C26,CMECOMPAIR_N[Proj Desc 1],0))="","",INDEX(CMECOMPAIR_N[EUL],MATCH(C26,CMECOMPAIR_N[Proj Desc 1],0))))</f>
        <v/>
      </c>
      <c r="BG26" s="845" t="str">
        <f>IF(C26="","",IF(INDEX(CMECOMPAIR_N[End Use Category],MATCH(C26,CMECOMPAIR_N[Proj Desc 1],0))="","",INDEX(CMECOMPAIR_N[End Use Category],MATCH(C26,CMECOMPAIR_N[Proj Desc 1],0))))</f>
        <v/>
      </c>
      <c r="BH26" s="837" t="str">
        <f>IFERROR(IF(OR(C26="",L26="",Q26="",T26="",Y26="",AB26="",AE26=""),"",ROUND(AK26*INDEX(ENDUSEALL[Factor],MATCH(BG26,ENDUSEALL[End Use to Coincident Peak Demand Factors],0)),4)),"")</f>
        <v/>
      </c>
      <c r="BI26" s="874"/>
      <c r="BJ26" s="787" t="str">
        <f>IFERROR(ROUND(AK26*BK26,2),"")</f>
        <v/>
      </c>
      <c r="BK26" s="1067" t="str">
        <f>_xlfn.LET(_xlpm.ROWS,MATCH(BG26,ENDUSEALL[End Use to Coincident Peak Demand Factors],0),IFERROR(INDEX(IF(AND(ACTIVEBONUS_N = TRUE,INDEX(ENDUSEALL[Bonus Rate ($/kWh)],_xlpm.ROWS)&lt;&gt;""),ENDUSEALL[Bonus Rate ($/kWh)],ENDUSEALL[Rate ($/kWh)]),_xlpm.ROWS),""))</f>
        <v/>
      </c>
      <c r="BL26" s="829"/>
      <c r="BM26" s="829"/>
      <c r="BN26" s="1068" t="str">
        <f>_xlfn.LET(_xlpm.BONUS_RATE,INDEX(ENDUSEALL[Bonus Rate ($/kWh)],MATCH(BG26,ENDUSEALL[End Use to Coincident Peak Demand Factors],0)),_xlpm.BASE_RATE,INDEX(ENDUSEALL[Rate ($/kWh)],MATCH(BG26,ENDUSEALL[End Use to Coincident Peak Demand Factors],0)),IFERROR(IF(OR(ACTIVEBONUS_N &lt;&gt; TRUE,ISNUMBER(AN26) = FALSE,BS26 &lt;&gt; ""),"",AN26-(AK26*_xlpm.BASE_RATE)),""))</f>
        <v/>
      </c>
      <c r="BO26" s="1070" t="str">
        <f>IF(OR(C26="",L26="",Q26="",T26="",Y26="",AB26="",AE26=""),"",IF(BQ26&lt;&gt;"",SPILLOVERNUMBER,INDEX(CMECOMPAIR_N[Measure Number],MATCH(C26,CMECOMPAIR_N[Proj Desc 1],0))))</f>
        <v/>
      </c>
      <c r="BP26" s="815" t="str">
        <f>IFERROR(
IF(BS26="",
IF(AND(ROUND(AN26/AH26,2)=INCCOSTCAP,BJ26/AH26&gt;INCCOSTCAP),
"100% Incremental Cost",
IF(BK26&lt;KWHRATEMIN,
"kWh Incentive Rate Min",
IF(BK26&gt;KWHRATEMAX,
"kWh Incentive Rate Cap",
IF(AN26=BN26,
"Bonus Incentive",
"kWh Incentive"
)))),""),
"")</f>
        <v/>
      </c>
      <c r="BQ26" s="815" t="str">
        <f ca="1">IFERROR(IF(EXPIRATION&lt;&gt;"",PROJSTATEXP,
IF(BS26&gt;0,"",
IF(BD26-BE26&lt;=0,MEASURESAVE,
IF(OR(N02S03F14="",N02S03F14="Select Rate Code",N02S03F14=0),MEASURERATE,
IF(AND(ISNUMBER(SEARCH("Others",C26)),OR(BF26="",BG26="")),MEASURESUBMIT,
IF(AH26&lt;=0,MEASUREINCR,
IF(PAYPROJ_N&lt;PAYBACKREQ,PROJECTSTATPAYBACK,
IF(CBPROJ_N&lt;CBREQ,PROJECTSTATCB,"")))))))),MEASURESUBMIT)</f>
        <v>Submit for Review</v>
      </c>
      <c r="BR26" s="787" t="str">
        <f>IFERROR(IF(OR(C26="",L26="",Q26="",T26="",Y26="",AB26="",AE26=""),"",
ROUND(((1+ELOSS)*((AK26*INDEX(ELECCB[NPV AEC $/kWh],MATCH(BF26,ELECCB[Year Number],1)))+(BH26*INDEX(ELECCB[NPV ACC $/kW],MATCH(BF26,ELECCB[Year Number],1))))),2)),0)</f>
        <v/>
      </c>
      <c r="BS26" s="853"/>
    </row>
    <row r="27" spans="1:71" ht="15.95" customHeight="1">
      <c r="B27" s="800"/>
      <c r="C27" s="1091"/>
      <c r="D27" s="1092"/>
      <c r="E27" s="1092"/>
      <c r="F27" s="1092"/>
      <c r="G27" s="1092"/>
      <c r="H27" s="1092"/>
      <c r="I27" s="1092"/>
      <c r="J27" s="1092"/>
      <c r="K27" s="1092"/>
      <c r="L27" s="1081"/>
      <c r="M27" s="1081"/>
      <c r="N27" s="1081"/>
      <c r="O27" s="1081"/>
      <c r="P27" s="1119"/>
      <c r="Q27" s="1117"/>
      <c r="R27" s="1078"/>
      <c r="S27" s="1078"/>
      <c r="T27" s="1081"/>
      <c r="U27" s="1081"/>
      <c r="V27" s="1081"/>
      <c r="W27" s="1081"/>
      <c r="X27" s="1119"/>
      <c r="Y27" s="1117"/>
      <c r="Z27" s="1078"/>
      <c r="AA27" s="1078"/>
      <c r="AB27" s="1093"/>
      <c r="AC27" s="1093"/>
      <c r="AD27" s="1094"/>
      <c r="AE27" s="1095"/>
      <c r="AF27" s="1096"/>
      <c r="AG27" s="1096"/>
      <c r="AH27" s="1105"/>
      <c r="AI27" s="1105"/>
      <c r="AJ27" s="1106"/>
      <c r="AK27" s="832"/>
      <c r="AL27" s="832"/>
      <c r="AM27" s="832"/>
      <c r="AN27" s="1100"/>
      <c r="AO27" s="1101"/>
      <c r="AP27" s="1101"/>
      <c r="AQ27" s="1102"/>
      <c r="AY27" s="836"/>
      <c r="AZ27" s="836"/>
      <c r="BA27" s="816"/>
      <c r="BB27" s="850"/>
      <c r="BC27" s="850"/>
      <c r="BD27" s="837"/>
      <c r="BE27" s="837"/>
      <c r="BF27" s="844"/>
      <c r="BG27" s="846"/>
      <c r="BH27" s="838"/>
      <c r="BI27" s="875"/>
      <c r="BJ27" s="788"/>
      <c r="BK27" s="787"/>
      <c r="BL27" s="830"/>
      <c r="BM27" s="830"/>
      <c r="BN27" s="1069"/>
      <c r="BO27" s="1071"/>
      <c r="BP27" s="816"/>
      <c r="BQ27" s="816"/>
      <c r="BR27" s="788"/>
      <c r="BS27" s="854"/>
    </row>
    <row r="28" spans="1:71" ht="15.95" customHeight="1">
      <c r="B28" s="800">
        <v>6</v>
      </c>
      <c r="C28" s="1091"/>
      <c r="D28" s="1092"/>
      <c r="E28" s="1092"/>
      <c r="F28" s="1092"/>
      <c r="G28" s="1092"/>
      <c r="H28" s="1092"/>
      <c r="I28" s="1092"/>
      <c r="J28" s="1092"/>
      <c r="K28" s="1092"/>
      <c r="L28" s="1083"/>
      <c r="M28" s="1083"/>
      <c r="N28" s="1083"/>
      <c r="O28" s="1083"/>
      <c r="P28" s="1121"/>
      <c r="Q28" s="1120"/>
      <c r="R28" s="1086"/>
      <c r="S28" s="1086"/>
      <c r="T28" s="1083"/>
      <c r="U28" s="1083"/>
      <c r="V28" s="1083"/>
      <c r="W28" s="1083"/>
      <c r="X28" s="1121"/>
      <c r="Y28" s="1120"/>
      <c r="Z28" s="1086"/>
      <c r="AA28" s="1086"/>
      <c r="AB28" s="1093"/>
      <c r="AC28" s="1093"/>
      <c r="AD28" s="1094"/>
      <c r="AE28" s="1095"/>
      <c r="AF28" s="1096"/>
      <c r="AG28" s="1096"/>
      <c r="AH28" s="1103" t="str">
        <f t="shared" ref="AH28" si="24">IF(OR(C28="",L28="",Q28="",T28="",Y28="",AB28="",AE28=""),"",ROUND(AE28-AB28,2))</f>
        <v/>
      </c>
      <c r="AI28" s="1103"/>
      <c r="AJ28" s="1104"/>
      <c r="AK28" s="831" t="str">
        <f t="shared" ref="AK28" si="25">IF(OR(C28="",L28="",Q28="",T28="",Y28="",AB28="",AE28=""),"",IF(BD28-BE28&lt;=0,0,ROUND(BD28-BE28,0)))</f>
        <v/>
      </c>
      <c r="AL28" s="831"/>
      <c r="AM28" s="831"/>
      <c r="AN28" s="1097" t="str">
        <f>IF(OR(C28="",L28="",Q28="",T28="",Y28="",AB28="",AE28=""),"",
IF(BQ28&lt;&gt;"",BQ28,IF(BS28&gt;0,BS28,
IF(ACTIVEBLOCK_N="Yes",ROUND(MIN(AH28*INCCOSTCAP,AK28*BLOCKBIDRATE),2),
ROUND(MIN(AH28*INCCOSTCAP,BJ28),2))
)))</f>
        <v/>
      </c>
      <c r="AO28" s="1098"/>
      <c r="AP28" s="1098"/>
      <c r="AQ28" s="1099"/>
      <c r="AY28" s="835" t="str">
        <f t="shared" ref="AY28" si="26">IFERROR(IF(OR(C28="",L28="",Q28="",T28="",Y28="",AB28="",AE28=""),"",ROUND(BR28/AH28,2)),0)</f>
        <v/>
      </c>
      <c r="AZ28" s="835" t="str">
        <f>IFERROR(AH28/N02S03F14/AK28,"")</f>
        <v/>
      </c>
      <c r="BA28" s="815" t="str">
        <f>IF(C28="","",INDEX(CMECOMPAIR_N[Unit of Measure],MATCH(C28,CMECOMPAIR_N[Proj Desc 1],0)))</f>
        <v/>
      </c>
      <c r="BB28" s="849" t="str">
        <f t="shared" ref="BB28" si="27">IF(AK28&lt;&gt;"","Missing!","")</f>
        <v/>
      </c>
      <c r="BC28" s="849" t="str">
        <f t="shared" ref="BC28" si="28">IF(AK28&lt;&gt;"","Missing!","")</f>
        <v/>
      </c>
      <c r="BD28" s="1065" t="str">
        <f t="shared" ref="BD28:BD34" si="29">IF(OR(C28="",L28="",Q28="",T28="",Y28="",AB28="",AE28=""),"",ROUND(Q28,0))</f>
        <v/>
      </c>
      <c r="BE28" s="1065" t="str">
        <f t="shared" ref="BE28:BE34" si="30">IF(OR(C28="",L28="",Q28="",T28="",Y28="",AB28="",AE28=""),"",ROUND(Y28,0))</f>
        <v/>
      </c>
      <c r="BF28" s="843" t="str">
        <f>IF(C28="","",IF(INDEX(CMECOMPAIR_N[EUL],MATCH(C28,CMECOMPAIR_N[Proj Desc 1],0))="","",INDEX(CMECOMPAIR_N[EUL],MATCH(C28,CMECOMPAIR_N[Proj Desc 1],0))))</f>
        <v/>
      </c>
      <c r="BG28" s="845" t="str">
        <f>IF(C28="","",IF(INDEX(CMECOMPAIR_N[End Use Category],MATCH(C28,CMECOMPAIR_N[Proj Desc 1],0))="","",INDEX(CMECOMPAIR_N[End Use Category],MATCH(C28,CMECOMPAIR_N[Proj Desc 1],0))))</f>
        <v/>
      </c>
      <c r="BH28" s="837" t="str">
        <f>IFERROR(IF(OR(C28="",L28="",Q28="",T28="",Y28="",AB28="",AE28=""),"",ROUND(AK28*INDEX(ENDUSEALL[Factor],MATCH(BG28,ENDUSEALL[End Use to Coincident Peak Demand Factors],0)),4)),"")</f>
        <v/>
      </c>
      <c r="BI28" s="874"/>
      <c r="BJ28" s="787" t="str">
        <f>IFERROR(ROUND(AK28*BK28,2),"")</f>
        <v/>
      </c>
      <c r="BK28" s="1067" t="str">
        <f>_xlfn.LET(_xlpm.ROWS,MATCH(BG28,ENDUSEALL[End Use to Coincident Peak Demand Factors],0),IFERROR(INDEX(IF(AND(ACTIVEBONUS_N = TRUE,INDEX(ENDUSEALL[Bonus Rate ($/kWh)],_xlpm.ROWS)&lt;&gt;""),ENDUSEALL[Bonus Rate ($/kWh)],ENDUSEALL[Rate ($/kWh)]),_xlpm.ROWS),""))</f>
        <v/>
      </c>
      <c r="BL28" s="829"/>
      <c r="BM28" s="829"/>
      <c r="BN28" s="1068" t="str">
        <f>_xlfn.LET(_xlpm.BONUS_RATE,INDEX(ENDUSEALL[Bonus Rate ($/kWh)],MATCH(BG28,ENDUSEALL[End Use to Coincident Peak Demand Factors],0)),_xlpm.BASE_RATE,INDEX(ENDUSEALL[Rate ($/kWh)],MATCH(BG28,ENDUSEALL[End Use to Coincident Peak Demand Factors],0)),IFERROR(IF(OR(ACTIVEBONUS_N &lt;&gt; TRUE,ISNUMBER(AN28) = FALSE,BS28 &lt;&gt; ""),"",AN28-(AK28*_xlpm.BASE_RATE)),""))</f>
        <v/>
      </c>
      <c r="BO28" s="1070" t="str">
        <f>IF(OR(C28="",L28="",Q28="",T28="",Y28="",AB28="",AE28=""),"",IF(BQ28&lt;&gt;"",SPILLOVERNUMBER,INDEX(CMECOMPAIR_N[Measure Number],MATCH(C28,CMECOMPAIR_N[Proj Desc 1],0))))</f>
        <v/>
      </c>
      <c r="BP28" s="815" t="str">
        <f>IFERROR(
IF(BS28="",
IF(AND(ROUND(AN28/AH28,2)=INCCOSTCAP,BJ28/AH28&gt;INCCOSTCAP),
"100% Incremental Cost",
IF(BK28&lt;KWHRATEMIN,
"kWh Incentive Rate Min",
IF(BK28&gt;KWHRATEMAX,
"kWh Incentive Rate Cap",
IF(AN28=BN28,
"Bonus Incentive",
"kWh Incentive"
)))),""),
"")</f>
        <v/>
      </c>
      <c r="BQ28" s="815" t="str">
        <f ca="1">IFERROR(IF(EXPIRATION&lt;&gt;"",PROJSTATEXP,
IF(BS28&gt;0,"",
IF(BD28-BE28&lt;=0,MEASURESAVE,
IF(OR(N02S03F14="",N02S03F14="Select Rate Code",N02S03F14=0),MEASURERATE,
IF(AND(ISNUMBER(SEARCH("Others",C28)),OR(BF28="",BG28="")),MEASURESUBMIT,
IF(AH28&lt;=0,MEASUREINCR,
IF(PAYPROJ_N&lt;PAYBACKREQ,PROJECTSTATPAYBACK,
IF(CBPROJ_N&lt;CBREQ,PROJECTSTATCB,"")))))))),MEASURESUBMIT)</f>
        <v>Submit for Review</v>
      </c>
      <c r="BR28" s="787" t="str">
        <f>IFERROR(IF(OR(C28="",L28="",Q28="",T28="",Y28="",AB28="",AE28=""),"",
ROUND(((1+ELOSS)*((AK28*INDEX(ELECCB[NPV AEC $/kWh],MATCH(BF28,ELECCB[Year Number],1)))+(BH28*INDEX(ELECCB[NPV ACC $/kW],MATCH(BF28,ELECCB[Year Number],1))))),2)),0)</f>
        <v/>
      </c>
      <c r="BS28" s="853"/>
    </row>
    <row r="29" spans="1:71" ht="15.95" customHeight="1">
      <c r="B29" s="800"/>
      <c r="C29" s="1091"/>
      <c r="D29" s="1092"/>
      <c r="E29" s="1092"/>
      <c r="F29" s="1092"/>
      <c r="G29" s="1092"/>
      <c r="H29" s="1092"/>
      <c r="I29" s="1092"/>
      <c r="J29" s="1092"/>
      <c r="K29" s="1092"/>
      <c r="L29" s="1081"/>
      <c r="M29" s="1081"/>
      <c r="N29" s="1081"/>
      <c r="O29" s="1081"/>
      <c r="P29" s="1119"/>
      <c r="Q29" s="1117"/>
      <c r="R29" s="1078"/>
      <c r="S29" s="1078"/>
      <c r="T29" s="1081"/>
      <c r="U29" s="1081"/>
      <c r="V29" s="1081"/>
      <c r="W29" s="1081"/>
      <c r="X29" s="1119"/>
      <c r="Y29" s="1117"/>
      <c r="Z29" s="1078"/>
      <c r="AA29" s="1078"/>
      <c r="AB29" s="1093"/>
      <c r="AC29" s="1093"/>
      <c r="AD29" s="1094"/>
      <c r="AE29" s="1095"/>
      <c r="AF29" s="1096"/>
      <c r="AG29" s="1096"/>
      <c r="AH29" s="1105"/>
      <c r="AI29" s="1105"/>
      <c r="AJ29" s="1106"/>
      <c r="AK29" s="832"/>
      <c r="AL29" s="832"/>
      <c r="AM29" s="832"/>
      <c r="AN29" s="1100"/>
      <c r="AO29" s="1101"/>
      <c r="AP29" s="1101"/>
      <c r="AQ29" s="1102"/>
      <c r="AY29" s="836"/>
      <c r="AZ29" s="836"/>
      <c r="BA29" s="816"/>
      <c r="BB29" s="850"/>
      <c r="BC29" s="850"/>
      <c r="BD29" s="837"/>
      <c r="BE29" s="837"/>
      <c r="BF29" s="844"/>
      <c r="BG29" s="846"/>
      <c r="BH29" s="838"/>
      <c r="BI29" s="875"/>
      <c r="BJ29" s="788"/>
      <c r="BK29" s="787"/>
      <c r="BL29" s="830"/>
      <c r="BM29" s="830"/>
      <c r="BN29" s="1069"/>
      <c r="BO29" s="1071"/>
      <c r="BP29" s="816"/>
      <c r="BQ29" s="816"/>
      <c r="BR29" s="788"/>
      <c r="BS29" s="854"/>
    </row>
    <row r="30" spans="1:71" ht="15.95" customHeight="1">
      <c r="B30" s="800">
        <v>7</v>
      </c>
      <c r="C30" s="1091"/>
      <c r="D30" s="1092"/>
      <c r="E30" s="1092"/>
      <c r="F30" s="1092"/>
      <c r="G30" s="1092"/>
      <c r="H30" s="1092"/>
      <c r="I30" s="1092"/>
      <c r="J30" s="1092"/>
      <c r="K30" s="1092"/>
      <c r="L30" s="1083"/>
      <c r="M30" s="1083"/>
      <c r="N30" s="1083"/>
      <c r="O30" s="1083"/>
      <c r="P30" s="1121"/>
      <c r="Q30" s="1120"/>
      <c r="R30" s="1086"/>
      <c r="S30" s="1086"/>
      <c r="T30" s="1083"/>
      <c r="U30" s="1083"/>
      <c r="V30" s="1083"/>
      <c r="W30" s="1083"/>
      <c r="X30" s="1121"/>
      <c r="Y30" s="1120"/>
      <c r="Z30" s="1086"/>
      <c r="AA30" s="1086"/>
      <c r="AB30" s="1093"/>
      <c r="AC30" s="1093"/>
      <c r="AD30" s="1094"/>
      <c r="AE30" s="1095"/>
      <c r="AF30" s="1096"/>
      <c r="AG30" s="1096"/>
      <c r="AH30" s="1103" t="str">
        <f t="shared" ref="AH30" si="31">IF(OR(C30="",L30="",Q30="",T30="",Y30="",AB30="",AE30=""),"",ROUND(AE30-AB30,2))</f>
        <v/>
      </c>
      <c r="AI30" s="1103"/>
      <c r="AJ30" s="1104"/>
      <c r="AK30" s="831" t="str">
        <f t="shared" ref="AK30" si="32">IF(OR(C30="",L30="",Q30="",T30="",Y30="",AB30="",AE30=""),"",IF(BD30-BE30&lt;=0,0,ROUND(BD30-BE30,0)))</f>
        <v/>
      </c>
      <c r="AL30" s="831"/>
      <c r="AM30" s="831"/>
      <c r="AN30" s="1097" t="str">
        <f>IF(OR(C30="",L30="",Q30="",T30="",Y30="",AB30="",AE30=""),"",
IF(BQ30&lt;&gt;"",BQ30,IF(BS30&gt;0,BS30,
IF(ACTIVEBLOCK_N="Yes",ROUND(MIN(AH30*INCCOSTCAP,AK30*BLOCKBIDRATE),2),
ROUND(MIN(AH30*INCCOSTCAP,BJ30),2))
)))</f>
        <v/>
      </c>
      <c r="AO30" s="1098"/>
      <c r="AP30" s="1098"/>
      <c r="AQ30" s="1099"/>
      <c r="AY30" s="835" t="str">
        <f t="shared" ref="AY30" si="33">IFERROR(IF(OR(C30="",L30="",Q30="",T30="",Y30="",AB30="",AE30=""),"",ROUND(BR30/AH30,2)),0)</f>
        <v/>
      </c>
      <c r="AZ30" s="835" t="str">
        <f>IFERROR(AH30/N02S03F14/AK30,"")</f>
        <v/>
      </c>
      <c r="BA30" s="815" t="str">
        <f>IF(C30="","",INDEX(CMECOMPAIR_N[Unit of Measure],MATCH(C30,CMECOMPAIR_N[Proj Desc 1],0)))</f>
        <v/>
      </c>
      <c r="BB30" s="849" t="str">
        <f t="shared" ref="BB30" si="34">IF(AK30&lt;&gt;"","Missing!","")</f>
        <v/>
      </c>
      <c r="BC30" s="849" t="str">
        <f t="shared" ref="BC30" si="35">IF(AK30&lt;&gt;"","Missing!","")</f>
        <v/>
      </c>
      <c r="BD30" s="1065" t="str">
        <f t="shared" si="29"/>
        <v/>
      </c>
      <c r="BE30" s="1065" t="str">
        <f t="shared" si="30"/>
        <v/>
      </c>
      <c r="BF30" s="843" t="str">
        <f>IF(C30="","",IF(INDEX(CMECOMPAIR_N[EUL],MATCH(C30,CMECOMPAIR_N[Proj Desc 1],0))="","",INDEX(CMECOMPAIR_N[EUL],MATCH(C30,CMECOMPAIR_N[Proj Desc 1],0))))</f>
        <v/>
      </c>
      <c r="BG30" s="845" t="str">
        <f>IF(C30="","",IF(INDEX(CMECOMPAIR_N[End Use Category],MATCH(C30,CMECOMPAIR_N[Proj Desc 1],0))="","",INDEX(CMECOMPAIR_N[End Use Category],MATCH(C30,CMECOMPAIR_N[Proj Desc 1],0))))</f>
        <v/>
      </c>
      <c r="BH30" s="837" t="str">
        <f>IFERROR(IF(OR(C30="",L30="",Q30="",T30="",Y30="",AB30="",AE30=""),"",ROUND(AK30*INDEX(ENDUSEALL[Factor],MATCH(BG30,ENDUSEALL[End Use to Coincident Peak Demand Factors],0)),4)),"")</f>
        <v/>
      </c>
      <c r="BI30" s="874"/>
      <c r="BJ30" s="787" t="str">
        <f>IFERROR(ROUND(AK30*BK30,2),"")</f>
        <v/>
      </c>
      <c r="BK30" s="1067" t="str">
        <f>_xlfn.LET(_xlpm.ROWS,MATCH(BG30,ENDUSEALL[End Use to Coincident Peak Demand Factors],0),IFERROR(INDEX(IF(AND(ACTIVEBONUS_N = TRUE,INDEX(ENDUSEALL[Bonus Rate ($/kWh)],_xlpm.ROWS)&lt;&gt;""),ENDUSEALL[Bonus Rate ($/kWh)],ENDUSEALL[Rate ($/kWh)]),_xlpm.ROWS),""))</f>
        <v/>
      </c>
      <c r="BL30" s="829"/>
      <c r="BM30" s="829"/>
      <c r="BN30" s="1068" t="str">
        <f>_xlfn.LET(_xlpm.BONUS_RATE,INDEX(ENDUSEALL[Bonus Rate ($/kWh)],MATCH(BG30,ENDUSEALL[End Use to Coincident Peak Demand Factors],0)),_xlpm.BASE_RATE,INDEX(ENDUSEALL[Rate ($/kWh)],MATCH(BG30,ENDUSEALL[End Use to Coincident Peak Demand Factors],0)),IFERROR(IF(OR(ACTIVEBONUS_N &lt;&gt; TRUE,ISNUMBER(AN30) = FALSE,BS30 &lt;&gt; ""),"",AN30-(AK30*_xlpm.BASE_RATE)),""))</f>
        <v/>
      </c>
      <c r="BO30" s="1070" t="str">
        <f>IF(OR(C30="",L30="",Q30="",T30="",Y30="",AB30="",AE30=""),"",IF(BQ30&lt;&gt;"",SPILLOVERNUMBER,INDEX(CMECOMPAIR_N[Measure Number],MATCH(C30,CMECOMPAIR_N[Proj Desc 1],0))))</f>
        <v/>
      </c>
      <c r="BP30" s="815" t="str">
        <f>IFERROR(
IF(BS30="",
IF(AND(ROUND(AN30/AH30,2)=INCCOSTCAP,BJ30/AH30&gt;INCCOSTCAP),
"100% Incremental Cost",
IF(BK30&lt;KWHRATEMIN,
"kWh Incentive Rate Min",
IF(BK30&gt;KWHRATEMAX,
"kWh Incentive Rate Cap",
IF(AN30=BN30,
"Bonus Incentive",
"kWh Incentive"
)))),""),
"")</f>
        <v/>
      </c>
      <c r="BQ30" s="815" t="str">
        <f ca="1">IFERROR(IF(EXPIRATION&lt;&gt;"",PROJSTATEXP,
IF(BS30&gt;0,"",
IF(BD30-BE30&lt;=0,MEASURESAVE,
IF(OR(N02S03F14="",N02S03F14="Select Rate Code",N02S03F14=0),MEASURERATE,
IF(AND(ISNUMBER(SEARCH("Others",C30)),OR(BF30="",BG30="")),MEASURESUBMIT,
IF(AH30&lt;=0,MEASUREINCR,
IF(PAYPROJ_N&lt;PAYBACKREQ,PROJECTSTATPAYBACK,
IF(CBPROJ_N&lt;CBREQ,PROJECTSTATCB,"")))))))),MEASURESUBMIT)</f>
        <v>Submit for Review</v>
      </c>
      <c r="BR30" s="787" t="str">
        <f>IFERROR(IF(OR(C30="",L30="",Q30="",T30="",Y30="",AB30="",AE30=""),"",
ROUND(((1+ELOSS)*((AK30*INDEX(ELECCB[NPV AEC $/kWh],MATCH(BF30,ELECCB[Year Number],1)))+(BH30*INDEX(ELECCB[NPV ACC $/kW],MATCH(BF30,ELECCB[Year Number],1))))),2)),0)</f>
        <v/>
      </c>
      <c r="BS30" s="853"/>
    </row>
    <row r="31" spans="1:71" ht="15.95" customHeight="1">
      <c r="B31" s="800"/>
      <c r="C31" s="1091"/>
      <c r="D31" s="1092"/>
      <c r="E31" s="1092"/>
      <c r="F31" s="1092"/>
      <c r="G31" s="1092"/>
      <c r="H31" s="1092"/>
      <c r="I31" s="1092"/>
      <c r="J31" s="1092"/>
      <c r="K31" s="1092"/>
      <c r="L31" s="1081"/>
      <c r="M31" s="1081"/>
      <c r="N31" s="1081"/>
      <c r="O31" s="1081"/>
      <c r="P31" s="1119"/>
      <c r="Q31" s="1117"/>
      <c r="R31" s="1078"/>
      <c r="S31" s="1078"/>
      <c r="T31" s="1081"/>
      <c r="U31" s="1081"/>
      <c r="V31" s="1081"/>
      <c r="W31" s="1081"/>
      <c r="X31" s="1119"/>
      <c r="Y31" s="1117"/>
      <c r="Z31" s="1078"/>
      <c r="AA31" s="1078"/>
      <c r="AB31" s="1093"/>
      <c r="AC31" s="1093"/>
      <c r="AD31" s="1094"/>
      <c r="AE31" s="1095"/>
      <c r="AF31" s="1096"/>
      <c r="AG31" s="1096"/>
      <c r="AH31" s="1105"/>
      <c r="AI31" s="1105"/>
      <c r="AJ31" s="1106"/>
      <c r="AK31" s="832"/>
      <c r="AL31" s="832"/>
      <c r="AM31" s="832"/>
      <c r="AN31" s="1100"/>
      <c r="AO31" s="1101"/>
      <c r="AP31" s="1101"/>
      <c r="AQ31" s="1102"/>
      <c r="AY31" s="836"/>
      <c r="AZ31" s="836"/>
      <c r="BA31" s="816"/>
      <c r="BB31" s="850"/>
      <c r="BC31" s="850"/>
      <c r="BD31" s="837"/>
      <c r="BE31" s="837"/>
      <c r="BF31" s="844"/>
      <c r="BG31" s="846"/>
      <c r="BH31" s="838"/>
      <c r="BI31" s="875"/>
      <c r="BJ31" s="788"/>
      <c r="BK31" s="787"/>
      <c r="BL31" s="830"/>
      <c r="BM31" s="830"/>
      <c r="BN31" s="1069"/>
      <c r="BO31" s="1071"/>
      <c r="BP31" s="816"/>
      <c r="BQ31" s="816"/>
      <c r="BR31" s="788"/>
      <c r="BS31" s="854"/>
    </row>
    <row r="32" spans="1:71" ht="15.95" customHeight="1">
      <c r="B32" s="800">
        <v>8</v>
      </c>
      <c r="C32" s="1091"/>
      <c r="D32" s="1092"/>
      <c r="E32" s="1092"/>
      <c r="F32" s="1092"/>
      <c r="G32" s="1092"/>
      <c r="H32" s="1092"/>
      <c r="I32" s="1092"/>
      <c r="J32" s="1092"/>
      <c r="K32" s="1092"/>
      <c r="L32" s="1083"/>
      <c r="M32" s="1083"/>
      <c r="N32" s="1083"/>
      <c r="O32" s="1083"/>
      <c r="P32" s="1121"/>
      <c r="Q32" s="1120"/>
      <c r="R32" s="1086"/>
      <c r="S32" s="1086"/>
      <c r="T32" s="1083"/>
      <c r="U32" s="1083"/>
      <c r="V32" s="1083"/>
      <c r="W32" s="1083"/>
      <c r="X32" s="1121"/>
      <c r="Y32" s="1120"/>
      <c r="Z32" s="1086"/>
      <c r="AA32" s="1086"/>
      <c r="AB32" s="1093"/>
      <c r="AC32" s="1093"/>
      <c r="AD32" s="1094"/>
      <c r="AE32" s="1095"/>
      <c r="AF32" s="1096"/>
      <c r="AG32" s="1096"/>
      <c r="AH32" s="1103" t="str">
        <f t="shared" ref="AH32" si="36">IF(OR(C32="",L32="",Q32="",T32="",Y32="",AB32="",AE32=""),"",ROUND(AE32-AB32,2))</f>
        <v/>
      </c>
      <c r="AI32" s="1103"/>
      <c r="AJ32" s="1104"/>
      <c r="AK32" s="831" t="str">
        <f t="shared" ref="AK32" si="37">IF(OR(C32="",L32="",Q32="",T32="",Y32="",AB32="",AE32=""),"",IF(BD32-BE32&lt;=0,0,ROUND(BD32-BE32,0)))</f>
        <v/>
      </c>
      <c r="AL32" s="831"/>
      <c r="AM32" s="831"/>
      <c r="AN32" s="1097" t="str">
        <f>IF(OR(C32="",L32="",Q32="",T32="",Y32="",AB32="",AE32=""),"",
IF(BQ32&lt;&gt;"",BQ32,IF(BS32&gt;0,BS32,
IF(ACTIVEBLOCK_N="Yes",ROUND(MIN(AH32*INCCOSTCAP,AK32*BLOCKBIDRATE),2),
ROUND(MIN(AH32*INCCOSTCAP,BJ32),2))
)))</f>
        <v/>
      </c>
      <c r="AO32" s="1098"/>
      <c r="AP32" s="1098"/>
      <c r="AQ32" s="1099"/>
      <c r="AY32" s="835" t="str">
        <f t="shared" ref="AY32" si="38">IFERROR(IF(OR(C32="",L32="",Q32="",T32="",Y32="",AB32="",AE32=""),"",ROUND(BR32/AH32,2)),0)</f>
        <v/>
      </c>
      <c r="AZ32" s="835" t="str">
        <f>IFERROR(AH32/N02S03F14/AK32,"")</f>
        <v/>
      </c>
      <c r="BA32" s="815" t="str">
        <f>IF(C32="","",INDEX(CMECOMPAIR_N[Unit of Measure],MATCH(C32,CMECOMPAIR_N[Proj Desc 1],0)))</f>
        <v/>
      </c>
      <c r="BB32" s="849" t="str">
        <f t="shared" ref="BB32" si="39">IF(AK32&lt;&gt;"","Missing!","")</f>
        <v/>
      </c>
      <c r="BC32" s="849" t="str">
        <f t="shared" ref="BC32" si="40">IF(AK32&lt;&gt;"","Missing!","")</f>
        <v/>
      </c>
      <c r="BD32" s="1065" t="str">
        <f t="shared" si="29"/>
        <v/>
      </c>
      <c r="BE32" s="1065" t="str">
        <f t="shared" si="30"/>
        <v/>
      </c>
      <c r="BF32" s="843" t="str">
        <f>IF(C32="","",IF(INDEX(CMECOMPAIR_N[EUL],MATCH(C32,CMECOMPAIR_N[Proj Desc 1],0))="","",INDEX(CMECOMPAIR_N[EUL],MATCH(C32,CMECOMPAIR_N[Proj Desc 1],0))))</f>
        <v/>
      </c>
      <c r="BG32" s="845" t="str">
        <f>IF(C32="","",IF(INDEX(CMECOMPAIR_N[End Use Category],MATCH(C32,CMECOMPAIR_N[Proj Desc 1],0))="","",INDEX(CMECOMPAIR_N[End Use Category],MATCH(C32,CMECOMPAIR_N[Proj Desc 1],0))))</f>
        <v/>
      </c>
      <c r="BH32" s="837" t="str">
        <f>IFERROR(IF(OR(C32="",L32="",Q32="",T32="",Y32="",AB32="",AE32=""),"",ROUND(AK32*INDEX(ENDUSEALL[Factor],MATCH(BG32,ENDUSEALL[End Use to Coincident Peak Demand Factors],0)),4)),"")</f>
        <v/>
      </c>
      <c r="BI32" s="874"/>
      <c r="BJ32" s="787" t="str">
        <f>IFERROR(ROUND(AK32*BK32,2),"")</f>
        <v/>
      </c>
      <c r="BK32" s="1067" t="str">
        <f>_xlfn.LET(_xlpm.ROWS,MATCH(BG32,ENDUSEALL[End Use to Coincident Peak Demand Factors],0),IFERROR(INDEX(IF(AND(ACTIVEBONUS_N = TRUE,INDEX(ENDUSEALL[Bonus Rate ($/kWh)],_xlpm.ROWS)&lt;&gt;""),ENDUSEALL[Bonus Rate ($/kWh)],ENDUSEALL[Rate ($/kWh)]),_xlpm.ROWS),""))</f>
        <v/>
      </c>
      <c r="BL32" s="829"/>
      <c r="BM32" s="829"/>
      <c r="BN32" s="1068" t="str">
        <f>_xlfn.LET(_xlpm.BONUS_RATE,INDEX(ENDUSEALL[Bonus Rate ($/kWh)],MATCH(BG32,ENDUSEALL[End Use to Coincident Peak Demand Factors],0)),_xlpm.BASE_RATE,INDEX(ENDUSEALL[Rate ($/kWh)],MATCH(BG32,ENDUSEALL[End Use to Coincident Peak Demand Factors],0)),IFERROR(IF(OR(ACTIVEBONUS_N &lt;&gt; TRUE,ISNUMBER(AN32) = FALSE,BS32 &lt;&gt; ""),"",AN32-(AK32*_xlpm.BASE_RATE)),""))</f>
        <v/>
      </c>
      <c r="BO32" s="1070" t="str">
        <f>IF(OR(C32="",L32="",Q32="",T32="",Y32="",AB32="",AE32=""),"",IF(BQ32&lt;&gt;"",SPILLOVERNUMBER,INDEX(CMECOMPAIR_N[Measure Number],MATCH(C32,CMECOMPAIR_N[Proj Desc 1],0))))</f>
        <v/>
      </c>
      <c r="BP32" s="815" t="str">
        <f>IFERROR(
IF(BS32="",
IF(AND(ROUND(AN32/AH32,2)=INCCOSTCAP,BJ32/AH32&gt;INCCOSTCAP),
"100% Incremental Cost",
IF(BK32&lt;KWHRATEMIN,
"kWh Incentive Rate Min",
IF(BK32&gt;KWHRATEMAX,
"kWh Incentive Rate Cap",
IF(AN32=BN32,
"Bonus Incentive",
"kWh Incentive"
)))),""),
"")</f>
        <v/>
      </c>
      <c r="BQ32" s="815" t="str">
        <f ca="1">IFERROR(IF(EXPIRATION&lt;&gt;"",PROJSTATEXP,
IF(BS32&gt;0,"",
IF(BD32-BE32&lt;=0,MEASURESAVE,
IF(OR(N02S03F14="",N02S03F14="Select Rate Code",N02S03F14=0),MEASURERATE,
IF(AND(ISNUMBER(SEARCH("Others",C32)),OR(BF32="",BG32="")),MEASURESUBMIT,
IF(AH32&lt;=0,MEASUREINCR,
IF(PAYPROJ_N&lt;PAYBACKREQ,PROJECTSTATPAYBACK,
IF(CBPROJ_N&lt;CBREQ,PROJECTSTATCB,"")))))))),MEASURESUBMIT)</f>
        <v>Submit for Review</v>
      </c>
      <c r="BR32" s="787" t="str">
        <f>IFERROR(IF(OR(C32="",L32="",Q32="",T32="",Y32="",AB32="",AE32=""),"",
ROUND(((1+ELOSS)*((AK32*INDEX(ELECCB[NPV AEC $/kWh],MATCH(BF32,ELECCB[Year Number],1)))+(BH32*INDEX(ELECCB[NPV ACC $/kW],MATCH(BF32,ELECCB[Year Number],1))))),2)),0)</f>
        <v/>
      </c>
      <c r="BS32" s="853"/>
    </row>
    <row r="33" spans="2:71" ht="15.95" customHeight="1">
      <c r="B33" s="800"/>
      <c r="C33" s="1091"/>
      <c r="D33" s="1092"/>
      <c r="E33" s="1092"/>
      <c r="F33" s="1092"/>
      <c r="G33" s="1092"/>
      <c r="H33" s="1092"/>
      <c r="I33" s="1092"/>
      <c r="J33" s="1092"/>
      <c r="K33" s="1092"/>
      <c r="L33" s="1081"/>
      <c r="M33" s="1081"/>
      <c r="N33" s="1081"/>
      <c r="O33" s="1081"/>
      <c r="P33" s="1119"/>
      <c r="Q33" s="1117"/>
      <c r="R33" s="1078"/>
      <c r="S33" s="1078"/>
      <c r="T33" s="1081"/>
      <c r="U33" s="1081"/>
      <c r="V33" s="1081"/>
      <c r="W33" s="1081"/>
      <c r="X33" s="1119"/>
      <c r="Y33" s="1117"/>
      <c r="Z33" s="1078"/>
      <c r="AA33" s="1078"/>
      <c r="AB33" s="1093"/>
      <c r="AC33" s="1093"/>
      <c r="AD33" s="1094"/>
      <c r="AE33" s="1095"/>
      <c r="AF33" s="1096"/>
      <c r="AG33" s="1096"/>
      <c r="AH33" s="1105"/>
      <c r="AI33" s="1105"/>
      <c r="AJ33" s="1106"/>
      <c r="AK33" s="832"/>
      <c r="AL33" s="832"/>
      <c r="AM33" s="832"/>
      <c r="AN33" s="1100"/>
      <c r="AO33" s="1101"/>
      <c r="AP33" s="1101"/>
      <c r="AQ33" s="1102"/>
      <c r="AY33" s="836"/>
      <c r="AZ33" s="836"/>
      <c r="BA33" s="816"/>
      <c r="BB33" s="850"/>
      <c r="BC33" s="850"/>
      <c r="BD33" s="837"/>
      <c r="BE33" s="837"/>
      <c r="BF33" s="844"/>
      <c r="BG33" s="846"/>
      <c r="BH33" s="838"/>
      <c r="BI33" s="875"/>
      <c r="BJ33" s="788"/>
      <c r="BK33" s="787"/>
      <c r="BL33" s="830"/>
      <c r="BM33" s="830"/>
      <c r="BN33" s="1069"/>
      <c r="BO33" s="1071"/>
      <c r="BP33" s="816"/>
      <c r="BQ33" s="816"/>
      <c r="BR33" s="788"/>
      <c r="BS33" s="854"/>
    </row>
    <row r="34" spans="2:71" ht="15.95" customHeight="1">
      <c r="B34" s="800">
        <v>9</v>
      </c>
      <c r="C34" s="1091"/>
      <c r="D34" s="1092"/>
      <c r="E34" s="1092"/>
      <c r="F34" s="1092"/>
      <c r="G34" s="1092"/>
      <c r="H34" s="1092"/>
      <c r="I34" s="1092"/>
      <c r="J34" s="1092"/>
      <c r="K34" s="1092"/>
      <c r="L34" s="1083"/>
      <c r="M34" s="1083"/>
      <c r="N34" s="1083"/>
      <c r="O34" s="1083"/>
      <c r="P34" s="1121"/>
      <c r="Q34" s="1120"/>
      <c r="R34" s="1086"/>
      <c r="S34" s="1086"/>
      <c r="T34" s="1083"/>
      <c r="U34" s="1083"/>
      <c r="V34" s="1083"/>
      <c r="W34" s="1083"/>
      <c r="X34" s="1121"/>
      <c r="Y34" s="1120"/>
      <c r="Z34" s="1086"/>
      <c r="AA34" s="1086"/>
      <c r="AB34" s="1093"/>
      <c r="AC34" s="1093"/>
      <c r="AD34" s="1094"/>
      <c r="AE34" s="1095"/>
      <c r="AF34" s="1096"/>
      <c r="AG34" s="1096"/>
      <c r="AH34" s="1103" t="str">
        <f t="shared" ref="AH34" si="41">IF(OR(C34="",L34="",Q34="",T34="",Y34="",AB34="",AE34=""),"",ROUND(AE34-AB34,2))</f>
        <v/>
      </c>
      <c r="AI34" s="1103"/>
      <c r="AJ34" s="1104"/>
      <c r="AK34" s="831" t="str">
        <f t="shared" ref="AK34" si="42">IF(OR(C34="",L34="",Q34="",T34="",Y34="",AB34="",AE34=""),"",IF(BD34-BE34&lt;=0,0,ROUND(BD34-BE34,0)))</f>
        <v/>
      </c>
      <c r="AL34" s="831"/>
      <c r="AM34" s="831"/>
      <c r="AN34" s="1097" t="str">
        <f>IF(OR(C34="",L34="",Q34="",T34="",Y34="",AB34="",AE34=""),"",
IF(BQ34&lt;&gt;"",BQ34,IF(BS34&gt;0,BS34,
IF(ACTIVEBLOCK_N="Yes",ROUND(MIN(AH34*INCCOSTCAP,AK34*BLOCKBIDRATE),2),
ROUND(MIN(AH34*INCCOSTCAP,BJ34),2))
)))</f>
        <v/>
      </c>
      <c r="AO34" s="1098"/>
      <c r="AP34" s="1098"/>
      <c r="AQ34" s="1099"/>
      <c r="AY34" s="835" t="str">
        <f t="shared" ref="AY34" si="43">IFERROR(IF(OR(C34="",L34="",Q34="",T34="",Y34="",AB34="",AE34=""),"",ROUND(BR34/AH34,2)),0)</f>
        <v/>
      </c>
      <c r="AZ34" s="835" t="str">
        <f>IFERROR(AH34/N02S03F14/AK34,"")</f>
        <v/>
      </c>
      <c r="BA34" s="815" t="str">
        <f>IF(C34="","",INDEX(CMECOMPAIR_N[Unit of Measure],MATCH(C34,CMECOMPAIR_N[Proj Desc 1],0)))</f>
        <v/>
      </c>
      <c r="BB34" s="849" t="str">
        <f t="shared" ref="BB34" si="44">IF(AK34&lt;&gt;"","Missing!","")</f>
        <v/>
      </c>
      <c r="BC34" s="849" t="str">
        <f t="shared" ref="BC34" si="45">IF(AK34&lt;&gt;"","Missing!","")</f>
        <v/>
      </c>
      <c r="BD34" s="1065" t="str">
        <f t="shared" si="29"/>
        <v/>
      </c>
      <c r="BE34" s="1065" t="str">
        <f t="shared" si="30"/>
        <v/>
      </c>
      <c r="BF34" s="843" t="str">
        <f>IF(C34="","",IF(INDEX(CMECOMPAIR_N[EUL],MATCH(C34,CMECOMPAIR_N[Proj Desc 1],0))="","",INDEX(CMECOMPAIR_N[EUL],MATCH(C34,CMECOMPAIR_N[Proj Desc 1],0))))</f>
        <v/>
      </c>
      <c r="BG34" s="845" t="str">
        <f>IF(C34="","",IF(INDEX(CMECOMPAIR_N[End Use Category],MATCH(C34,CMECOMPAIR_N[Proj Desc 1],0))="","",INDEX(CMECOMPAIR_N[End Use Category],MATCH(C34,CMECOMPAIR_N[Proj Desc 1],0))))</f>
        <v/>
      </c>
      <c r="BH34" s="837" t="str">
        <f>IFERROR(IF(OR(C34="",L34="",Q34="",T34="",Y34="",AB34="",AE34=""),"",ROUND(AK34*INDEX(ENDUSEALL[Factor],MATCH(BG34,ENDUSEALL[End Use to Coincident Peak Demand Factors],0)),4)),"")</f>
        <v/>
      </c>
      <c r="BI34" s="874"/>
      <c r="BJ34" s="787" t="str">
        <f>IFERROR(ROUND(AK34*BK34,2),"")</f>
        <v/>
      </c>
      <c r="BK34" s="1067" t="str">
        <f>_xlfn.LET(_xlpm.ROWS,MATCH(BG34,ENDUSEALL[End Use to Coincident Peak Demand Factors],0),IFERROR(INDEX(IF(AND(ACTIVEBONUS_N = TRUE,INDEX(ENDUSEALL[Bonus Rate ($/kWh)],_xlpm.ROWS)&lt;&gt;""),ENDUSEALL[Bonus Rate ($/kWh)],ENDUSEALL[Rate ($/kWh)]),_xlpm.ROWS),""))</f>
        <v/>
      </c>
      <c r="BL34" s="829"/>
      <c r="BM34" s="829"/>
      <c r="BN34" s="1068" t="str">
        <f>_xlfn.LET(_xlpm.BONUS_RATE,INDEX(ENDUSEALL[Bonus Rate ($/kWh)],MATCH(BG34,ENDUSEALL[End Use to Coincident Peak Demand Factors],0)),_xlpm.BASE_RATE,INDEX(ENDUSEALL[Rate ($/kWh)],MATCH(BG34,ENDUSEALL[End Use to Coincident Peak Demand Factors],0)),IFERROR(IF(OR(ACTIVEBONUS_N &lt;&gt; TRUE,ISNUMBER(AN34) = FALSE,BS34 &lt;&gt; ""),"",AN34-(AK34*_xlpm.BASE_RATE)),""))</f>
        <v/>
      </c>
      <c r="BO34" s="1070" t="str">
        <f>IF(OR(C34="",L34="",Q34="",T34="",Y34="",AB34="",AE34=""),"",IF(BQ34&lt;&gt;"",SPILLOVERNUMBER,INDEX(CMECOMPAIR_N[Measure Number],MATCH(C34,CMECOMPAIR_N[Proj Desc 1],0))))</f>
        <v/>
      </c>
      <c r="BP34" s="815" t="str">
        <f>IFERROR(
IF(BS34="",
IF(AND(ROUND(AN34/AH34,2)=INCCOSTCAP,BJ34/AH34&gt;INCCOSTCAP),
"100% Incremental Cost",
IF(BK34&lt;KWHRATEMIN,
"kWh Incentive Rate Min",
IF(BK34&gt;KWHRATEMAX,
"kWh Incentive Rate Cap",
IF(AN34=BN34,
"Bonus Incentive",
"kWh Incentive"
)))),""),
"")</f>
        <v/>
      </c>
      <c r="BQ34" s="815" t="str">
        <f ca="1">IFERROR(IF(EXPIRATION&lt;&gt;"",PROJSTATEXP,
IF(BS34&gt;0,"",
IF(BD34-BE34&lt;=0,MEASURESAVE,
IF(OR(N02S03F14="",N02S03F14="Select Rate Code",N02S03F14=0),MEASURERATE,
IF(AND(ISNUMBER(SEARCH("Others",C34)),OR(BF34="",BG34="")),MEASURESUBMIT,
IF(AH34&lt;=0,MEASUREINCR,
IF(PAYPROJ_N&lt;PAYBACKREQ,PROJECTSTATPAYBACK,
IF(CBPROJ_N&lt;CBREQ,PROJECTSTATCB,"")))))))),MEASURESUBMIT)</f>
        <v>Submit for Review</v>
      </c>
      <c r="BR34" s="787" t="str">
        <f>IFERROR(IF(OR(C34="",L34="",Q34="",T34="",Y34="",AB34="",AE34=""),"",
ROUND(((1+ELOSS)*((AK34*INDEX(ELECCB[NPV AEC $/kWh],MATCH(BF34,ELECCB[Year Number],1)))+(BH34*INDEX(ELECCB[NPV ACC $/kW],MATCH(BF34,ELECCB[Year Number],1))))),2)),0)</f>
        <v/>
      </c>
      <c r="BS34" s="853"/>
    </row>
    <row r="35" spans="2:71" ht="15.95" customHeight="1">
      <c r="B35" s="800"/>
      <c r="C35" s="1091"/>
      <c r="D35" s="1092"/>
      <c r="E35" s="1092"/>
      <c r="F35" s="1092"/>
      <c r="G35" s="1092"/>
      <c r="H35" s="1092"/>
      <c r="I35" s="1092"/>
      <c r="J35" s="1092"/>
      <c r="K35" s="1092"/>
      <c r="L35" s="1081"/>
      <c r="M35" s="1081"/>
      <c r="N35" s="1081"/>
      <c r="O35" s="1081"/>
      <c r="P35" s="1119"/>
      <c r="Q35" s="1117"/>
      <c r="R35" s="1078"/>
      <c r="S35" s="1078"/>
      <c r="T35" s="1081"/>
      <c r="U35" s="1081"/>
      <c r="V35" s="1081"/>
      <c r="W35" s="1081"/>
      <c r="X35" s="1119"/>
      <c r="Y35" s="1117"/>
      <c r="Z35" s="1078"/>
      <c r="AA35" s="1078"/>
      <c r="AB35" s="1093"/>
      <c r="AC35" s="1093"/>
      <c r="AD35" s="1094"/>
      <c r="AE35" s="1095"/>
      <c r="AF35" s="1096"/>
      <c r="AG35" s="1096"/>
      <c r="AH35" s="1105"/>
      <c r="AI35" s="1105"/>
      <c r="AJ35" s="1106"/>
      <c r="AK35" s="832"/>
      <c r="AL35" s="832"/>
      <c r="AM35" s="832"/>
      <c r="AN35" s="1100"/>
      <c r="AO35" s="1101"/>
      <c r="AP35" s="1101"/>
      <c r="AQ35" s="1102"/>
      <c r="AY35" s="836"/>
      <c r="AZ35" s="836"/>
      <c r="BA35" s="816"/>
      <c r="BB35" s="850"/>
      <c r="BC35" s="850"/>
      <c r="BD35" s="837"/>
      <c r="BE35" s="837"/>
      <c r="BF35" s="844"/>
      <c r="BG35" s="846"/>
      <c r="BH35" s="838"/>
      <c r="BI35" s="875"/>
      <c r="BJ35" s="788"/>
      <c r="BK35" s="787"/>
      <c r="BL35" s="830"/>
      <c r="BM35" s="830"/>
      <c r="BN35" s="1069"/>
      <c r="BO35" s="1071"/>
      <c r="BP35" s="816"/>
      <c r="BQ35" s="816"/>
      <c r="BR35" s="788"/>
      <c r="BS35" s="854"/>
    </row>
    <row r="36" spans="2:71" ht="15.95" customHeight="1">
      <c r="B36" s="800">
        <v>10</v>
      </c>
      <c r="C36" s="1091"/>
      <c r="D36" s="1092"/>
      <c r="E36" s="1092"/>
      <c r="F36" s="1092"/>
      <c r="G36" s="1092"/>
      <c r="H36" s="1092"/>
      <c r="I36" s="1092"/>
      <c r="J36" s="1092"/>
      <c r="K36" s="1092"/>
      <c r="L36" s="1083"/>
      <c r="M36" s="1083"/>
      <c r="N36" s="1083"/>
      <c r="O36" s="1083"/>
      <c r="P36" s="1121"/>
      <c r="Q36" s="1120"/>
      <c r="R36" s="1086"/>
      <c r="S36" s="1086"/>
      <c r="T36" s="1083"/>
      <c r="U36" s="1083"/>
      <c r="V36" s="1083"/>
      <c r="W36" s="1083"/>
      <c r="X36" s="1121"/>
      <c r="Y36" s="1120"/>
      <c r="Z36" s="1086"/>
      <c r="AA36" s="1086"/>
      <c r="AB36" s="1093"/>
      <c r="AC36" s="1093"/>
      <c r="AD36" s="1094"/>
      <c r="AE36" s="1095"/>
      <c r="AF36" s="1096"/>
      <c r="AG36" s="1096"/>
      <c r="AH36" s="1103" t="str">
        <f t="shared" ref="AH36" si="46">IF(OR(C36="",L36="",Q36="",T36="",Y36="",AB36="",AE36=""),"",ROUND(AE36-AB36,2))</f>
        <v/>
      </c>
      <c r="AI36" s="1103"/>
      <c r="AJ36" s="1104"/>
      <c r="AK36" s="831" t="str">
        <f t="shared" ref="AK36" si="47">IF(OR(C36="",L36="",Q36="",T36="",Y36="",AB36="",AE36=""),"",IF(BD36-BE36&lt;=0,0,ROUND(BD36-BE36,0)))</f>
        <v/>
      </c>
      <c r="AL36" s="831"/>
      <c r="AM36" s="831"/>
      <c r="AN36" s="1097" t="str">
        <f>IF(OR(C36="",L36="",Q36="",T36="",Y36="",AB36="",AE36=""),"",
IF(BQ36&lt;&gt;"",BQ36,IF(BS36&gt;0,BS36,
IF(ACTIVEBLOCK_N="Yes",ROUND(MIN(AH36*INCCOSTCAP,AK36*BLOCKBIDRATE),2),
ROUND(MIN(AH36*INCCOSTCAP,BJ36),2))
)))</f>
        <v/>
      </c>
      <c r="AO36" s="1098"/>
      <c r="AP36" s="1098"/>
      <c r="AQ36" s="1099"/>
      <c r="AY36" s="835" t="str">
        <f t="shared" ref="AY36" si="48">IFERROR(IF(OR(C36="",L36="",Q36="",T36="",Y36="",AB36="",AE36=""),"",ROUND(BR36/AH36,2)),0)</f>
        <v/>
      </c>
      <c r="AZ36" s="835" t="str">
        <f>IFERROR(AH36/N02S03F14/AK36,"")</f>
        <v/>
      </c>
      <c r="BA36" s="815" t="str">
        <f>IF(C36="","",INDEX(CMECOMPAIR_N[Unit of Measure],MATCH(C36,CMECOMPAIR_N[Proj Desc 1],0)))</f>
        <v/>
      </c>
      <c r="BB36" s="849" t="str">
        <f t="shared" ref="BB36" si="49">IF(AK36&lt;&gt;"","Missing!","")</f>
        <v/>
      </c>
      <c r="BC36" s="849" t="str">
        <f t="shared" ref="BC36" si="50">IF(AK36&lt;&gt;"","Missing!","")</f>
        <v/>
      </c>
      <c r="BD36" s="1065" t="str">
        <f t="shared" ref="BD36" si="51">IF(OR(C36="",L36="",Q36="",T36="",Y36="",AB36="",AE36=""),"",ROUND(Q36,0))</f>
        <v/>
      </c>
      <c r="BE36" s="1065" t="str">
        <f t="shared" ref="BE36" si="52">IF(OR(C36="",L36="",Q36="",T36="",Y36="",AB36="",AE36=""),"",ROUND(Y36,0))</f>
        <v/>
      </c>
      <c r="BF36" s="843" t="str">
        <f>IF(C36="","",IF(INDEX(CMECOMPAIR_N[EUL],MATCH(C36,CMECOMPAIR_N[Proj Desc 1],0))="","",INDEX(CMECOMPAIR_N[EUL],MATCH(C36,CMECOMPAIR_N[Proj Desc 1],0))))</f>
        <v/>
      </c>
      <c r="BG36" s="845" t="str">
        <f>IF(C36="","",IF(INDEX(CMECOMPAIR_N[End Use Category],MATCH(C36,CMECOMPAIR_N[Proj Desc 1],0))="","",INDEX(CMECOMPAIR_N[End Use Category],MATCH(C36,CMECOMPAIR_N[Proj Desc 1],0))))</f>
        <v/>
      </c>
      <c r="BH36" s="837" t="str">
        <f>IFERROR(IF(OR(C36="",L36="",Q36="",T36="",Y36="",AB36="",AE36=""),"",ROUND(AK36*INDEX(ENDUSEALL[Factor],MATCH(BG36,ENDUSEALL[End Use to Coincident Peak Demand Factors],0)),4)),"")</f>
        <v/>
      </c>
      <c r="BI36" s="874"/>
      <c r="BJ36" s="787" t="str">
        <f>IFERROR(ROUND(AK36*BK36,2),"")</f>
        <v/>
      </c>
      <c r="BK36" s="1067" t="str">
        <f>_xlfn.LET(_xlpm.ROWS,MATCH(BG36,ENDUSEALL[End Use to Coincident Peak Demand Factors],0),IFERROR(INDEX(IF(AND(ACTIVEBONUS_N = TRUE,INDEX(ENDUSEALL[Bonus Rate ($/kWh)],_xlpm.ROWS)&lt;&gt;""),ENDUSEALL[Bonus Rate ($/kWh)],ENDUSEALL[Rate ($/kWh)]),_xlpm.ROWS),""))</f>
        <v/>
      </c>
      <c r="BL36" s="829"/>
      <c r="BM36" s="829"/>
      <c r="BN36" s="1068" t="str">
        <f>_xlfn.LET(_xlpm.BONUS_RATE,INDEX(ENDUSEALL[Bonus Rate ($/kWh)],MATCH(BG36,ENDUSEALL[End Use to Coincident Peak Demand Factors],0)),_xlpm.BASE_RATE,INDEX(ENDUSEALL[Rate ($/kWh)],MATCH(BG36,ENDUSEALL[End Use to Coincident Peak Demand Factors],0)),IFERROR(IF(OR(ACTIVEBONUS_N &lt;&gt; TRUE,ISNUMBER(AN36) = FALSE,BS36 &lt;&gt; ""),"",AN36-(AK36*_xlpm.BASE_RATE)),""))</f>
        <v/>
      </c>
      <c r="BO36" s="1070" t="str">
        <f>IF(OR(C36="",L36="",Q36="",T36="",Y36="",AB36="",AE36=""),"",IF(BQ36&lt;&gt;"",SPILLOVERNUMBER,INDEX(CMECOMPAIR_N[Measure Number],MATCH(C36,CMECOMPAIR_N[Proj Desc 1],0))))</f>
        <v/>
      </c>
      <c r="BP36" s="815" t="str">
        <f>IFERROR(
IF(BS36="",
IF(AND(ROUND(AN36/AH36,2)=INCCOSTCAP,BJ36/AH36&gt;INCCOSTCAP),
"100% Incremental Cost",
IF(BK36&lt;KWHRATEMIN,
"kWh Incentive Rate Min",
IF(BK36&gt;KWHRATEMAX,
"kWh Incentive Rate Cap",
IF(AN36=BN36,
"Bonus Incentive",
"kWh Incentive"
)))),""),
"")</f>
        <v/>
      </c>
      <c r="BQ36" s="815" t="str">
        <f ca="1">IFERROR(IF(EXPIRATION&lt;&gt;"",PROJSTATEXP,
IF(BS36&gt;0,"",
IF(BD36-BE36&lt;=0,MEASURESAVE,
IF(OR(N02S03F14="",N02S03F14="Select Rate Code",N02S03F14=0),MEASURERATE,
IF(AND(ISNUMBER(SEARCH("Others",C36)),OR(BF36="",BG36="")),MEASURESUBMIT,
IF(AH36&lt;=0,MEASUREINCR,
IF(PAYPROJ_N&lt;PAYBACKREQ,PROJECTSTATPAYBACK,
IF(CBPROJ_N&lt;CBREQ,PROJECTSTATCB,"")))))))),MEASURESUBMIT)</f>
        <v>Submit for Review</v>
      </c>
      <c r="BR36" s="787" t="str">
        <f>IFERROR(IF(OR(C36="",L36="",Q36="",T36="",Y36="",AB36="",AE36=""),"",
ROUND(((1+ELOSS)*((AK36*INDEX(ELECCB[NPV AEC $/kWh],MATCH(BF36,ELECCB[Year Number],1)))+(BH36*INDEX(ELECCB[NPV ACC $/kW],MATCH(BF36,ELECCB[Year Number],1))))),2)),0)</f>
        <v/>
      </c>
      <c r="BS36" s="853"/>
    </row>
    <row r="37" spans="2:71" ht="15.95" customHeight="1">
      <c r="B37" s="800"/>
      <c r="C37" s="1091"/>
      <c r="D37" s="1092"/>
      <c r="E37" s="1092"/>
      <c r="F37" s="1092"/>
      <c r="G37" s="1092"/>
      <c r="H37" s="1092"/>
      <c r="I37" s="1092"/>
      <c r="J37" s="1092"/>
      <c r="K37" s="1092"/>
      <c r="L37" s="1081"/>
      <c r="M37" s="1081"/>
      <c r="N37" s="1081"/>
      <c r="O37" s="1081"/>
      <c r="P37" s="1119"/>
      <c r="Q37" s="1117"/>
      <c r="R37" s="1078"/>
      <c r="S37" s="1078"/>
      <c r="T37" s="1081"/>
      <c r="U37" s="1081"/>
      <c r="V37" s="1081"/>
      <c r="W37" s="1081"/>
      <c r="X37" s="1119"/>
      <c r="Y37" s="1117"/>
      <c r="Z37" s="1078"/>
      <c r="AA37" s="1078"/>
      <c r="AB37" s="1093"/>
      <c r="AC37" s="1093"/>
      <c r="AD37" s="1094"/>
      <c r="AE37" s="1095"/>
      <c r="AF37" s="1096"/>
      <c r="AG37" s="1096"/>
      <c r="AH37" s="1105"/>
      <c r="AI37" s="1105"/>
      <c r="AJ37" s="1106"/>
      <c r="AK37" s="832"/>
      <c r="AL37" s="832"/>
      <c r="AM37" s="832"/>
      <c r="AN37" s="1100"/>
      <c r="AO37" s="1101"/>
      <c r="AP37" s="1101"/>
      <c r="AQ37" s="1102"/>
      <c r="AY37" s="836"/>
      <c r="AZ37" s="836"/>
      <c r="BA37" s="816"/>
      <c r="BB37" s="850"/>
      <c r="BC37" s="850"/>
      <c r="BD37" s="837"/>
      <c r="BE37" s="837"/>
      <c r="BF37" s="844"/>
      <c r="BG37" s="846"/>
      <c r="BH37" s="838"/>
      <c r="BI37" s="875"/>
      <c r="BJ37" s="788"/>
      <c r="BK37" s="787"/>
      <c r="BL37" s="830"/>
      <c r="BM37" s="830"/>
      <c r="BN37" s="1069"/>
      <c r="BO37" s="1071"/>
      <c r="BP37" s="816"/>
      <c r="BQ37" s="816"/>
      <c r="BR37" s="788"/>
      <c r="BS37" s="854"/>
    </row>
    <row r="38" spans="2:71" ht="15.95" customHeight="1">
      <c r="B38" s="800"/>
    </row>
    <row r="39" spans="2:71" ht="15.95" hidden="1" customHeight="1">
      <c r="B39" s="800"/>
    </row>
    <row r="40" spans="2:71" ht="15.95" hidden="1" customHeight="1">
      <c r="B40" s="800"/>
    </row>
    <row r="41" spans="2:71" ht="15.95" hidden="1" customHeight="1">
      <c r="B41" s="800"/>
    </row>
    <row r="42" spans="2:71" ht="15.95" hidden="1" customHeight="1">
      <c r="B42" s="800"/>
    </row>
    <row r="43" spans="2:71" ht="15.95" hidden="1" customHeight="1">
      <c r="B43" s="800"/>
    </row>
    <row r="44" spans="2:71" ht="15.95" hidden="1" customHeight="1">
      <c r="B44" s="800"/>
    </row>
    <row r="45" spans="2:71" ht="15.95" hidden="1" customHeight="1">
      <c r="B45" s="800"/>
    </row>
    <row r="46" spans="2:71" ht="15.95" hidden="1" customHeight="1">
      <c r="B46" s="800"/>
    </row>
    <row r="47" spans="2:71" ht="15.95" hidden="1" customHeight="1">
      <c r="B47" s="800"/>
    </row>
    <row r="48" spans="2:71" ht="15.95" hidden="1" customHeight="1">
      <c r="AZ48" s="25"/>
      <c r="BA48" s="31"/>
      <c r="BD48" s="31"/>
      <c r="BE48" s="31"/>
    </row>
    <row r="49" spans="52:57" ht="15.95" hidden="1" customHeight="1">
      <c r="AZ49" s="25"/>
      <c r="BA49" s="31"/>
      <c r="BD49" s="31"/>
      <c r="BE49" s="31"/>
    </row>
    <row r="50" spans="52:57" ht="15.95" hidden="1" customHeight="1">
      <c r="AZ50" s="25"/>
      <c r="BA50" s="31"/>
      <c r="BD50" s="31"/>
      <c r="BE50" s="31"/>
    </row>
    <row r="51" spans="52:57" ht="15.95" hidden="1" customHeight="1">
      <c r="AZ51" s="25"/>
      <c r="BA51" s="31"/>
      <c r="BD51" s="31"/>
      <c r="BE51" s="31"/>
    </row>
    <row r="52" spans="52:57" ht="15.95" hidden="1" customHeight="1">
      <c r="AZ52" s="25"/>
      <c r="BA52" s="31"/>
      <c r="BD52" s="31"/>
      <c r="BE52" s="31"/>
    </row>
    <row r="53" spans="52:57" ht="15.95" hidden="1" customHeight="1">
      <c r="AZ53" s="25"/>
      <c r="BA53" s="31"/>
      <c r="BD53" s="31"/>
      <c r="BE53" s="31"/>
    </row>
    <row r="54" spans="52:57" ht="15.95" hidden="1" customHeight="1">
      <c r="AZ54" s="25"/>
      <c r="BA54" s="31"/>
      <c r="BD54" s="31"/>
      <c r="BE54" s="31"/>
    </row>
    <row r="55" spans="52:57" ht="15.95" hidden="1" customHeight="1">
      <c r="AZ55" s="25"/>
      <c r="BA55" s="31"/>
      <c r="BD55" s="31"/>
      <c r="BE55" s="31"/>
    </row>
    <row r="56" spans="52:57" ht="15.95" hidden="1" customHeight="1">
      <c r="AZ56" s="25"/>
      <c r="BA56" s="31"/>
      <c r="BD56" s="31"/>
      <c r="BE56" s="31"/>
    </row>
    <row r="57" spans="52:57" ht="15.95" hidden="1" customHeight="1">
      <c r="AZ57" s="25"/>
      <c r="BA57" s="31"/>
      <c r="BD57" s="31"/>
      <c r="BE57" s="31"/>
    </row>
    <row r="58" spans="52:57" ht="15.95" hidden="1" customHeight="1">
      <c r="AZ58" s="25"/>
      <c r="BA58" s="31"/>
      <c r="BD58" s="31"/>
      <c r="BE58" s="31"/>
    </row>
    <row r="59" spans="52:57" ht="15.95" hidden="1" customHeight="1">
      <c r="AZ59" s="25"/>
      <c r="BA59" s="31"/>
      <c r="BD59" s="31"/>
      <c r="BE59" s="31"/>
    </row>
    <row r="60" spans="52:57" ht="15.95" hidden="1" customHeight="1">
      <c r="AZ60" s="25"/>
      <c r="BA60" s="31"/>
      <c r="BD60" s="31"/>
      <c r="BE60" s="31"/>
    </row>
    <row r="61" spans="52:57" ht="15.95" hidden="1" customHeight="1">
      <c r="AZ61" s="25"/>
      <c r="BA61" s="31"/>
      <c r="BD61" s="31"/>
      <c r="BE61" s="31"/>
    </row>
    <row r="62" spans="52:57" ht="15.95" hidden="1" customHeight="1">
      <c r="AZ62" s="25"/>
      <c r="BA62" s="31"/>
      <c r="BD62" s="31"/>
      <c r="BE62" s="31"/>
    </row>
    <row r="63" spans="52:57" ht="15.95" hidden="1" customHeight="1">
      <c r="AZ63" s="25"/>
      <c r="BA63" s="31"/>
      <c r="BD63" s="31"/>
      <c r="BE63" s="31"/>
    </row>
    <row r="64" spans="52:57" ht="15.95" hidden="1" customHeight="1">
      <c r="AZ64" s="25"/>
      <c r="BA64" s="31"/>
      <c r="BD64" s="31"/>
      <c r="BE64" s="31"/>
    </row>
    <row r="65" spans="52:57" ht="15.95" hidden="1" customHeight="1">
      <c r="AZ65" s="25"/>
      <c r="BA65" s="31"/>
      <c r="BD65" s="31"/>
      <c r="BE65" s="31"/>
    </row>
    <row r="66" spans="52:57" ht="15.95" hidden="1" customHeight="1">
      <c r="AZ66" s="25"/>
      <c r="BA66" s="31"/>
      <c r="BD66" s="31"/>
      <c r="BE66" s="31"/>
    </row>
    <row r="67" spans="52:57" ht="15.95" hidden="1" customHeight="1">
      <c r="AZ67" s="25"/>
      <c r="BA67" s="31"/>
      <c r="BD67" s="31"/>
      <c r="BE67" s="31"/>
    </row>
    <row r="68" spans="52:57" ht="15.95" hidden="1" customHeight="1">
      <c r="AZ68" s="25"/>
      <c r="BA68" s="31"/>
      <c r="BD68" s="31"/>
      <c r="BE68" s="31"/>
    </row>
    <row r="69" spans="52:57" ht="15.95" hidden="1" customHeight="1">
      <c r="AZ69" s="25"/>
      <c r="BA69" s="31"/>
      <c r="BD69" s="31"/>
      <c r="BE69" s="31"/>
    </row>
    <row r="70" spans="52:57" ht="15.95" hidden="1" customHeight="1">
      <c r="AZ70" s="25"/>
      <c r="BA70" s="31"/>
      <c r="BD70" s="31"/>
      <c r="BE70" s="31"/>
    </row>
    <row r="71" spans="52:57" ht="15.95" hidden="1" customHeight="1">
      <c r="AZ71" s="25"/>
      <c r="BA71" s="31"/>
      <c r="BD71" s="31"/>
      <c r="BE71" s="31"/>
    </row>
    <row r="72" spans="52:57" ht="15.95" hidden="1" customHeight="1">
      <c r="AZ72" s="25"/>
      <c r="BA72" s="31"/>
      <c r="BD72" s="31"/>
      <c r="BE72" s="31"/>
    </row>
    <row r="73" spans="52:57" ht="15.95" hidden="1" customHeight="1">
      <c r="AZ73" s="25"/>
      <c r="BA73" s="31"/>
      <c r="BD73" s="31"/>
      <c r="BE73" s="31"/>
    </row>
    <row r="74" spans="52:57" ht="15.95" hidden="1" customHeight="1">
      <c r="AZ74" s="25"/>
      <c r="BA74" s="31"/>
      <c r="BD74" s="31"/>
      <c r="BE74" s="31"/>
    </row>
    <row r="75" spans="52:57" ht="15.95" hidden="1" customHeight="1">
      <c r="AZ75" s="25"/>
      <c r="BA75" s="31"/>
      <c r="BD75" s="31"/>
      <c r="BE75" s="31"/>
    </row>
    <row r="76" spans="52:57" ht="15.95" hidden="1" customHeight="1">
      <c r="AZ76" s="25"/>
      <c r="BA76" s="31"/>
      <c r="BD76" s="31"/>
      <c r="BE76" s="31"/>
    </row>
    <row r="77" spans="52:57" ht="15.95" hidden="1" customHeight="1">
      <c r="AZ77" s="25"/>
      <c r="BA77" s="31"/>
      <c r="BD77" s="31"/>
      <c r="BE77" s="31"/>
    </row>
    <row r="78" spans="52:57" ht="15.95" hidden="1" customHeight="1">
      <c r="AZ78" s="25"/>
      <c r="BA78" s="31"/>
      <c r="BD78" s="31"/>
      <c r="BE78" s="31"/>
    </row>
    <row r="79" spans="52:57" ht="15.95" hidden="1" customHeight="1">
      <c r="AZ79" s="25"/>
      <c r="BA79" s="31"/>
      <c r="BD79" s="31"/>
      <c r="BE79" s="31"/>
    </row>
    <row r="80" spans="52:57" ht="15.95" hidden="1" customHeight="1">
      <c r="AZ80" s="25"/>
      <c r="BA80" s="31"/>
      <c r="BD80" s="31"/>
      <c r="BE80" s="31"/>
    </row>
    <row r="81" spans="52:57" ht="15.95" hidden="1" customHeight="1">
      <c r="AZ81" s="25"/>
      <c r="BA81" s="31"/>
      <c r="BD81" s="31"/>
      <c r="BE81" s="31"/>
    </row>
    <row r="82" spans="52:57" ht="15.95" hidden="1" customHeight="1">
      <c r="AZ82" s="25"/>
      <c r="BA82" s="31"/>
      <c r="BD82" s="31"/>
      <c r="BE82" s="31"/>
    </row>
    <row r="83" spans="52:57" ht="15.95" hidden="1" customHeight="1">
      <c r="AZ83" s="25"/>
      <c r="BA83" s="31"/>
      <c r="BD83" s="31"/>
      <c r="BE83" s="31"/>
    </row>
    <row r="84" spans="52:57" ht="15.95" hidden="1" customHeight="1">
      <c r="AZ84" s="25"/>
      <c r="BA84" s="31"/>
      <c r="BD84" s="31"/>
      <c r="BE84" s="31"/>
    </row>
    <row r="85" spans="52:57" ht="15.95" hidden="1" customHeight="1">
      <c r="AZ85" s="25"/>
      <c r="BA85" s="31"/>
      <c r="BD85" s="31"/>
      <c r="BE85" s="31"/>
    </row>
    <row r="86" spans="52:57" ht="15.95" hidden="1" customHeight="1">
      <c r="AZ86" s="25"/>
      <c r="BA86" s="31"/>
      <c r="BD86" s="31"/>
      <c r="BE86" s="31"/>
    </row>
    <row r="87" spans="52:57" ht="15.95" hidden="1" customHeight="1">
      <c r="AZ87" s="25"/>
      <c r="BA87" s="31"/>
      <c r="BD87" s="31"/>
      <c r="BE87" s="31"/>
    </row>
    <row r="88" spans="52:57" ht="15.95" hidden="1" customHeight="1">
      <c r="AZ88" s="25"/>
      <c r="BA88" s="31"/>
      <c r="BD88" s="31"/>
      <c r="BE88" s="31"/>
    </row>
    <row r="89" spans="52:57" ht="15.95" hidden="1" customHeight="1">
      <c r="AZ89" s="25"/>
      <c r="BA89" s="31"/>
      <c r="BD89" s="31"/>
      <c r="BE89" s="31"/>
    </row>
    <row r="90" spans="52:57" ht="15.95" hidden="1" customHeight="1">
      <c r="AZ90" s="25"/>
      <c r="BA90" s="31"/>
      <c r="BD90" s="31"/>
      <c r="BE90" s="31"/>
    </row>
    <row r="91" spans="52:57" ht="15.95" hidden="1" customHeight="1">
      <c r="AZ91" s="25"/>
      <c r="BA91" s="31"/>
      <c r="BD91" s="31"/>
      <c r="BE91" s="31"/>
    </row>
    <row r="92" spans="52:57" ht="15.95" hidden="1" customHeight="1">
      <c r="AZ92" s="25"/>
      <c r="BA92" s="31"/>
      <c r="BD92" s="31"/>
      <c r="BE92" s="31"/>
    </row>
    <row r="93" spans="52:57" ht="15.95" hidden="1" customHeight="1">
      <c r="AZ93" s="25"/>
      <c r="BA93" s="31"/>
      <c r="BD93" s="31"/>
      <c r="BE93" s="31"/>
    </row>
    <row r="94" spans="52:57" ht="15.95" hidden="1" customHeight="1">
      <c r="AZ94" s="25"/>
      <c r="BA94" s="31"/>
      <c r="BD94" s="31"/>
      <c r="BE94" s="31"/>
    </row>
    <row r="95" spans="52:57" ht="15.95" hidden="1" customHeight="1">
      <c r="AZ95" s="25"/>
      <c r="BA95" s="31"/>
      <c r="BD95" s="31"/>
      <c r="BE95" s="31"/>
    </row>
    <row r="96" spans="52:57" ht="15.95" hidden="1" customHeight="1">
      <c r="AZ96" s="25"/>
      <c r="BA96" s="31"/>
      <c r="BD96" s="31"/>
      <c r="BE96" s="31"/>
    </row>
    <row r="97" spans="52:57" ht="15.95" hidden="1" customHeight="1">
      <c r="AZ97" s="25"/>
      <c r="BA97" s="31"/>
      <c r="BD97" s="31"/>
      <c r="BE97" s="31"/>
    </row>
    <row r="98" spans="52:57" ht="15.95" hidden="1" customHeight="1">
      <c r="AZ98" s="25"/>
      <c r="BA98" s="31"/>
      <c r="BD98" s="31"/>
      <c r="BE98" s="31"/>
    </row>
    <row r="99" spans="52:57" ht="15.95" hidden="1" customHeight="1">
      <c r="AZ99" s="25"/>
      <c r="BA99" s="31"/>
      <c r="BD99" s="31"/>
      <c r="BE99" s="31"/>
    </row>
    <row r="100" spans="52:57" ht="15.95" hidden="1" customHeight="1">
      <c r="AZ100" s="25"/>
      <c r="BA100" s="31"/>
      <c r="BD100" s="31"/>
      <c r="BE100" s="31"/>
    </row>
    <row r="101" spans="52:57" ht="15.95" hidden="1" customHeight="1">
      <c r="AZ101" s="25"/>
      <c r="BA101" s="31"/>
      <c r="BD101" s="31"/>
      <c r="BE101" s="31"/>
    </row>
    <row r="102" spans="52:57" ht="15.95" hidden="1" customHeight="1">
      <c r="AZ102" s="25"/>
      <c r="BA102" s="31"/>
      <c r="BD102" s="31"/>
      <c r="BE102" s="31"/>
    </row>
    <row r="103" spans="52:57" ht="15.95" hidden="1" customHeight="1">
      <c r="AZ103" s="25"/>
      <c r="BA103" s="31"/>
      <c r="BD103" s="31"/>
      <c r="BE103" s="31"/>
    </row>
    <row r="104" spans="52:57" ht="15.95" hidden="1" customHeight="1">
      <c r="AZ104" s="25"/>
      <c r="BA104" s="31"/>
      <c r="BD104" s="31"/>
      <c r="BE104" s="31"/>
    </row>
    <row r="105" spans="52:57" ht="15.95" hidden="1" customHeight="1">
      <c r="AZ105" s="25"/>
      <c r="BA105" s="31"/>
      <c r="BD105" s="31"/>
      <c r="BE105" s="31"/>
    </row>
    <row r="106" spans="52:57" ht="15.95" hidden="1" customHeight="1">
      <c r="AZ106" s="25"/>
      <c r="BA106" s="31"/>
      <c r="BD106" s="31"/>
      <c r="BE106" s="31"/>
    </row>
    <row r="107" spans="52:57" ht="15.95" hidden="1" customHeight="1">
      <c r="AZ107" s="25"/>
      <c r="BA107" s="31"/>
      <c r="BD107" s="31"/>
      <c r="BE107" s="31"/>
    </row>
    <row r="108" spans="52:57" ht="15.95" hidden="1" customHeight="1">
      <c r="AZ108" s="25"/>
      <c r="BA108" s="31"/>
      <c r="BD108" s="31"/>
      <c r="BE108" s="31"/>
    </row>
    <row r="109" spans="52:57" ht="15.95" hidden="1" customHeight="1">
      <c r="AZ109" s="25"/>
      <c r="BA109" s="31"/>
      <c r="BD109" s="31"/>
      <c r="BE109" s="31"/>
    </row>
    <row r="110" spans="52:57" ht="15.95" hidden="1" customHeight="1">
      <c r="AZ110" s="25"/>
      <c r="BA110" s="31"/>
      <c r="BD110" s="31"/>
      <c r="BE110" s="31"/>
    </row>
    <row r="111" spans="52:57" ht="15.95" hidden="1" customHeight="1">
      <c r="AZ111" s="25"/>
      <c r="BA111" s="31"/>
      <c r="BD111" s="31"/>
      <c r="BE111" s="31"/>
    </row>
    <row r="112" spans="52:57" ht="15.95" hidden="1" customHeight="1">
      <c r="AZ112" s="25"/>
      <c r="BA112" s="31"/>
      <c r="BD112" s="31"/>
      <c r="BE112" s="31"/>
    </row>
    <row r="113" spans="52:57" ht="15.95" hidden="1" customHeight="1">
      <c r="AZ113" s="25"/>
      <c r="BA113" s="31"/>
      <c r="BD113" s="31"/>
      <c r="BE113" s="31"/>
    </row>
    <row r="114" spans="52:57" ht="15.95" hidden="1" customHeight="1">
      <c r="AZ114" s="25"/>
      <c r="BA114" s="31"/>
      <c r="BD114" s="31"/>
      <c r="BE114" s="31"/>
    </row>
    <row r="115" spans="52:57" ht="15.95" hidden="1" customHeight="1">
      <c r="AZ115" s="25"/>
      <c r="BA115" s="31"/>
      <c r="BD115" s="31"/>
      <c r="BE115" s="31"/>
    </row>
    <row r="116" spans="52:57" ht="15.95" hidden="1" customHeight="1">
      <c r="AZ116" s="25"/>
      <c r="BA116" s="31"/>
      <c r="BD116" s="31"/>
      <c r="BE116" s="31"/>
    </row>
    <row r="117" spans="52:57" ht="15.95" hidden="1" customHeight="1">
      <c r="AZ117" s="25"/>
      <c r="BA117" s="31"/>
      <c r="BD117" s="31"/>
      <c r="BE117" s="31"/>
    </row>
    <row r="118" spans="52:57" ht="15.95" hidden="1" customHeight="1">
      <c r="AZ118" s="25"/>
      <c r="BA118" s="31"/>
      <c r="BD118" s="31"/>
      <c r="BE118" s="31"/>
    </row>
    <row r="119" spans="52:57" ht="15.95" hidden="1" customHeight="1">
      <c r="AZ119" s="25"/>
      <c r="BA119" s="31"/>
      <c r="BD119" s="31"/>
      <c r="BE119" s="31"/>
    </row>
    <row r="120" spans="52:57" ht="15.95" hidden="1" customHeight="1">
      <c r="AZ120" s="25"/>
      <c r="BA120" s="31"/>
      <c r="BD120" s="31"/>
      <c r="BE120" s="31"/>
    </row>
    <row r="121" spans="52:57" ht="15.95" hidden="1" customHeight="1">
      <c r="AZ121" s="25"/>
      <c r="BA121" s="31"/>
      <c r="BD121" s="31"/>
      <c r="BE121" s="31"/>
    </row>
    <row r="122" spans="52:57" ht="15.95" hidden="1" customHeight="1">
      <c r="AZ122" s="25"/>
      <c r="BA122" s="31"/>
      <c r="BD122" s="31"/>
      <c r="BE122" s="31"/>
    </row>
    <row r="123" spans="52:57" ht="15.95" hidden="1" customHeight="1">
      <c r="AZ123" s="25"/>
      <c r="BA123" s="31"/>
      <c r="BD123" s="31"/>
      <c r="BE123" s="31"/>
    </row>
    <row r="124" spans="52:57" ht="15.95" hidden="1" customHeight="1">
      <c r="AZ124" s="25"/>
      <c r="BA124" s="31"/>
      <c r="BD124" s="31"/>
      <c r="BE124" s="31"/>
    </row>
    <row r="125" spans="52:57" ht="15.95" hidden="1" customHeight="1">
      <c r="AZ125" s="25"/>
      <c r="BA125" s="31"/>
      <c r="BD125" s="31"/>
      <c r="BE125" s="31"/>
    </row>
    <row r="126" spans="52:57" ht="15.95" hidden="1" customHeight="1">
      <c r="AZ126" s="25"/>
      <c r="BA126" s="31"/>
      <c r="BD126" s="31"/>
      <c r="BE126" s="31"/>
    </row>
    <row r="127" spans="52:57" ht="15.95" hidden="1" customHeight="1">
      <c r="AZ127" s="25"/>
      <c r="BA127" s="31"/>
      <c r="BD127" s="31"/>
      <c r="BE127" s="31"/>
    </row>
    <row r="128" spans="52:57" ht="15.95" hidden="1" customHeight="1">
      <c r="AZ128" s="25"/>
      <c r="BA128" s="31"/>
      <c r="BD128" s="31"/>
      <c r="BE128" s="31"/>
    </row>
    <row r="129" spans="52:57" ht="15.95" hidden="1" customHeight="1">
      <c r="AZ129" s="25"/>
      <c r="BA129" s="31"/>
      <c r="BD129" s="31"/>
      <c r="BE129" s="31"/>
    </row>
    <row r="130" spans="52:57" ht="15.95" hidden="1" customHeight="1">
      <c r="AZ130" s="25"/>
      <c r="BA130" s="31"/>
      <c r="BD130" s="31"/>
      <c r="BE130" s="31"/>
    </row>
    <row r="131" spans="52:57" ht="15.95" hidden="1" customHeight="1">
      <c r="AZ131" s="25"/>
      <c r="BA131" s="31"/>
      <c r="BD131" s="31"/>
      <c r="BE131" s="31"/>
    </row>
    <row r="132" spans="52:57" ht="15.95" hidden="1" customHeight="1">
      <c r="AZ132" s="25"/>
      <c r="BA132" s="31"/>
      <c r="BD132" s="31"/>
      <c r="BE132" s="31"/>
    </row>
    <row r="133" spans="52:57" ht="15.95" hidden="1" customHeight="1">
      <c r="AZ133" s="25"/>
      <c r="BA133" s="31"/>
      <c r="BD133" s="31"/>
      <c r="BE133" s="31"/>
    </row>
    <row r="134" spans="52:57" ht="15.95" hidden="1" customHeight="1">
      <c r="AZ134" s="25"/>
      <c r="BA134" s="31"/>
      <c r="BD134" s="31"/>
      <c r="BE134" s="31"/>
    </row>
    <row r="135" spans="52:57" ht="15.95" hidden="1" customHeight="1">
      <c r="AZ135" s="25"/>
      <c r="BA135" s="31"/>
      <c r="BD135" s="31"/>
      <c r="BE135" s="31"/>
    </row>
    <row r="136" spans="52:57" ht="15.95" hidden="1" customHeight="1">
      <c r="AZ136" s="25"/>
      <c r="BA136" s="31"/>
      <c r="BD136" s="31"/>
      <c r="BE136" s="31"/>
    </row>
    <row r="137" spans="52:57" ht="15.95" hidden="1" customHeight="1">
      <c r="AZ137" s="25"/>
      <c r="BA137" s="31"/>
      <c r="BD137" s="31"/>
      <c r="BE137" s="31"/>
    </row>
    <row r="138" spans="52:57" ht="15.95" hidden="1" customHeight="1">
      <c r="AZ138" s="25"/>
      <c r="BA138" s="31"/>
      <c r="BD138" s="31"/>
      <c r="BE138" s="31"/>
    </row>
    <row r="139" spans="52:57" ht="15.95" hidden="1" customHeight="1">
      <c r="AZ139" s="25"/>
      <c r="BA139" s="31"/>
      <c r="BD139" s="31"/>
      <c r="BE139" s="31"/>
    </row>
    <row r="140" spans="52:57" ht="15.95" hidden="1" customHeight="1">
      <c r="AZ140" s="25"/>
      <c r="BA140" s="31"/>
      <c r="BD140" s="31"/>
      <c r="BE140" s="31"/>
    </row>
    <row r="141" spans="52:57" ht="15.95" hidden="1" customHeight="1">
      <c r="AZ141" s="25"/>
      <c r="BA141" s="31"/>
      <c r="BD141" s="31"/>
      <c r="BE141" s="31"/>
    </row>
    <row r="142" spans="52:57" ht="15.95" hidden="1" customHeight="1">
      <c r="AZ142" s="25"/>
      <c r="BA142" s="31"/>
      <c r="BD142" s="31"/>
      <c r="BE142" s="31"/>
    </row>
    <row r="143" spans="52:57" ht="15.95" hidden="1" customHeight="1">
      <c r="AZ143" s="25"/>
      <c r="BA143" s="31"/>
      <c r="BD143" s="31"/>
      <c r="BE143" s="31"/>
    </row>
    <row r="144" spans="52:57" ht="15.95" hidden="1" customHeight="1">
      <c r="AZ144" s="25"/>
      <c r="BA144" s="31"/>
      <c r="BD144" s="31"/>
      <c r="BE144" s="31"/>
    </row>
    <row r="145" spans="52:57" ht="15.95" hidden="1" customHeight="1">
      <c r="AZ145" s="25"/>
      <c r="BA145" s="31"/>
      <c r="BD145" s="31"/>
      <c r="BE145" s="31"/>
    </row>
    <row r="146" spans="52:57" ht="15.95" hidden="1" customHeight="1">
      <c r="AZ146" s="25"/>
      <c r="BA146" s="31"/>
      <c r="BD146" s="31"/>
      <c r="BE146" s="31"/>
    </row>
    <row r="147" spans="52:57" ht="15.95" hidden="1" customHeight="1">
      <c r="AZ147" s="25"/>
      <c r="BA147" s="31"/>
      <c r="BD147" s="31"/>
      <c r="BE147" s="31"/>
    </row>
    <row r="148" spans="52:57" ht="15.95" hidden="1" customHeight="1">
      <c r="AZ148" s="25"/>
      <c r="BA148" s="31"/>
      <c r="BD148" s="31"/>
      <c r="BE148" s="31"/>
    </row>
    <row r="149" spans="52:57" ht="15.95" hidden="1" customHeight="1">
      <c r="AZ149" s="25"/>
      <c r="BA149" s="31"/>
      <c r="BD149" s="31"/>
      <c r="BE149" s="31"/>
    </row>
    <row r="150" spans="52:57" ht="15.95" hidden="1" customHeight="1">
      <c r="AZ150" s="25"/>
      <c r="BA150" s="31"/>
      <c r="BD150" s="31"/>
      <c r="BE150" s="31"/>
    </row>
    <row r="151" spans="52:57" ht="15.95" hidden="1" customHeight="1">
      <c r="AZ151" s="25"/>
      <c r="BA151" s="31"/>
      <c r="BD151" s="31"/>
      <c r="BE151" s="31"/>
    </row>
    <row r="152" spans="52:57" ht="15.95" hidden="1" customHeight="1">
      <c r="AZ152" s="25"/>
      <c r="BA152" s="31"/>
      <c r="BD152" s="31"/>
      <c r="BE152" s="31"/>
    </row>
    <row r="153" spans="52:57" ht="15.95" hidden="1" customHeight="1">
      <c r="AZ153" s="25"/>
      <c r="BA153" s="31"/>
      <c r="BD153" s="31"/>
      <c r="BE153" s="31"/>
    </row>
    <row r="154" spans="52:57" ht="15.95" hidden="1" customHeight="1">
      <c r="AZ154" s="25"/>
      <c r="BA154" s="31"/>
      <c r="BD154" s="31"/>
      <c r="BE154" s="31"/>
    </row>
    <row r="155" spans="52:57" ht="15.95" hidden="1" customHeight="1">
      <c r="AZ155" s="25"/>
      <c r="BA155" s="31"/>
      <c r="BD155" s="31"/>
      <c r="BE155" s="31"/>
    </row>
    <row r="156" spans="52:57" ht="15.95" hidden="1" customHeight="1">
      <c r="AZ156" s="25"/>
      <c r="BA156" s="31"/>
      <c r="BD156" s="31"/>
      <c r="BE156" s="31"/>
    </row>
    <row r="157" spans="52:57" ht="15.95" hidden="1" customHeight="1">
      <c r="AZ157" s="25"/>
      <c r="BA157" s="31"/>
      <c r="BD157" s="31"/>
      <c r="BE157" s="31"/>
    </row>
    <row r="158" spans="52:57" ht="15.95" hidden="1" customHeight="1">
      <c r="AZ158" s="25"/>
      <c r="BA158" s="31"/>
      <c r="BD158" s="31"/>
      <c r="BE158" s="31"/>
    </row>
    <row r="159" spans="52:57" ht="15.95" hidden="1" customHeight="1">
      <c r="AZ159" s="25"/>
      <c r="BA159" s="31"/>
      <c r="BD159" s="31"/>
      <c r="BE159" s="31"/>
    </row>
    <row r="160" spans="52:57" ht="15.95" hidden="1" customHeight="1">
      <c r="AZ160" s="25"/>
      <c r="BA160" s="31"/>
      <c r="BD160" s="31"/>
      <c r="BE160" s="31"/>
    </row>
    <row r="161" spans="52:57" ht="15.95" hidden="1" customHeight="1">
      <c r="AZ161" s="25"/>
      <c r="BA161" s="31"/>
      <c r="BD161" s="31"/>
      <c r="BE161" s="31"/>
    </row>
    <row r="162" spans="52:57" ht="15.95" hidden="1" customHeight="1">
      <c r="AZ162" s="25"/>
      <c r="BA162" s="31"/>
      <c r="BD162" s="31"/>
      <c r="BE162" s="31"/>
    </row>
    <row r="163" spans="52:57" ht="15.95" hidden="1" customHeight="1">
      <c r="AZ163" s="25"/>
      <c r="BA163" s="31"/>
      <c r="BD163" s="31"/>
      <c r="BE163" s="31"/>
    </row>
    <row r="164" spans="52:57" ht="15.95" hidden="1" customHeight="1">
      <c r="AZ164" s="25"/>
      <c r="BA164" s="31"/>
      <c r="BD164" s="31"/>
      <c r="BE164" s="31"/>
    </row>
    <row r="165" spans="52:57" ht="15.95" hidden="1" customHeight="1">
      <c r="AZ165" s="25"/>
      <c r="BA165" s="31"/>
      <c r="BD165" s="31"/>
      <c r="BE165" s="31"/>
    </row>
    <row r="166" spans="52:57" ht="15.95" hidden="1" customHeight="1">
      <c r="AZ166" s="25"/>
      <c r="BA166" s="31"/>
      <c r="BD166" s="31"/>
      <c r="BE166" s="31"/>
    </row>
    <row r="167" spans="52:57" ht="15.95" hidden="1" customHeight="1">
      <c r="AZ167" s="25"/>
      <c r="BA167" s="31"/>
      <c r="BD167" s="31"/>
      <c r="BE167" s="31"/>
    </row>
    <row r="168" spans="52:57" ht="15.95" hidden="1" customHeight="1">
      <c r="AZ168" s="25"/>
      <c r="BA168" s="31"/>
      <c r="BD168" s="31"/>
      <c r="BE168" s="31"/>
    </row>
    <row r="169" spans="52:57" ht="15.95" hidden="1" customHeight="1">
      <c r="AZ169" s="25"/>
      <c r="BA169" s="31"/>
      <c r="BD169" s="31"/>
      <c r="BE169" s="31"/>
    </row>
    <row r="170" spans="52:57" ht="15.95" hidden="1" customHeight="1">
      <c r="AZ170" s="25"/>
      <c r="BA170" s="31"/>
      <c r="BD170" s="31"/>
      <c r="BE170" s="31"/>
    </row>
    <row r="171" spans="52:57" ht="15.95" hidden="1" customHeight="1">
      <c r="AZ171" s="25"/>
      <c r="BA171" s="31"/>
      <c r="BD171" s="31"/>
      <c r="BE171" s="31"/>
    </row>
    <row r="172" spans="52:57" ht="15.95" hidden="1" customHeight="1">
      <c r="AZ172" s="25"/>
      <c r="BA172" s="31"/>
      <c r="BD172" s="31"/>
      <c r="BE172" s="31"/>
    </row>
    <row r="173" spans="52:57" ht="15.95" hidden="1" customHeight="1">
      <c r="AZ173" s="25"/>
      <c r="BA173" s="31"/>
      <c r="BD173" s="31"/>
      <c r="BE173" s="31"/>
    </row>
    <row r="174" spans="52:57" ht="15.95" hidden="1" customHeight="1">
      <c r="AZ174" s="25"/>
      <c r="BA174" s="31"/>
      <c r="BD174" s="31"/>
      <c r="BE174" s="31"/>
    </row>
    <row r="175" spans="52:57" ht="15.95" hidden="1" customHeight="1">
      <c r="AZ175" s="25"/>
      <c r="BA175" s="31"/>
      <c r="BD175" s="31"/>
      <c r="BE175" s="31"/>
    </row>
    <row r="176" spans="52:57" ht="15.95" hidden="1" customHeight="1">
      <c r="AZ176" s="25"/>
      <c r="BA176" s="31"/>
      <c r="BD176" s="31"/>
      <c r="BE176" s="31"/>
    </row>
    <row r="177" spans="52:57" ht="15.95" hidden="1" customHeight="1">
      <c r="AZ177" s="25"/>
      <c r="BA177" s="31"/>
      <c r="BD177" s="31"/>
      <c r="BE177" s="31"/>
    </row>
    <row r="178" spans="52:57" ht="15.95" hidden="1" customHeight="1">
      <c r="AZ178" s="25"/>
      <c r="BA178" s="31"/>
      <c r="BD178" s="31"/>
      <c r="BE178" s="31"/>
    </row>
    <row r="179" spans="52:57" ht="15.95" hidden="1" customHeight="1">
      <c r="AZ179" s="25"/>
      <c r="BA179" s="31"/>
      <c r="BD179" s="31"/>
      <c r="BE179" s="31"/>
    </row>
    <row r="180" spans="52:57" ht="15.95" hidden="1" customHeight="1">
      <c r="AZ180" s="25"/>
      <c r="BA180" s="31"/>
      <c r="BD180" s="31"/>
      <c r="BE180" s="31"/>
    </row>
    <row r="181" spans="52:57" ht="15.95" hidden="1" customHeight="1">
      <c r="AZ181" s="25"/>
      <c r="BA181" s="31"/>
      <c r="BD181" s="31"/>
      <c r="BE181" s="31"/>
    </row>
    <row r="182" spans="52:57" ht="15.95" hidden="1" customHeight="1">
      <c r="AZ182" s="25"/>
      <c r="BA182" s="31"/>
      <c r="BD182" s="31"/>
      <c r="BE182" s="31"/>
    </row>
    <row r="183" spans="52:57" ht="15.95" hidden="1" customHeight="1">
      <c r="AZ183" s="25"/>
      <c r="BA183" s="31"/>
      <c r="BD183" s="31"/>
      <c r="BE183" s="31"/>
    </row>
    <row r="184" spans="52:57" ht="15.95" hidden="1" customHeight="1">
      <c r="AZ184" s="25"/>
      <c r="BA184" s="31"/>
      <c r="BD184" s="31"/>
      <c r="BE184" s="31"/>
    </row>
    <row r="185" spans="52:57" ht="15.95" hidden="1" customHeight="1">
      <c r="AZ185" s="25"/>
      <c r="BA185" s="31"/>
      <c r="BD185" s="31"/>
      <c r="BE185" s="31"/>
    </row>
    <row r="186" spans="52:57" ht="15.95" hidden="1" customHeight="1">
      <c r="AZ186" s="25"/>
      <c r="BA186" s="31"/>
      <c r="BD186" s="31"/>
      <c r="BE186" s="31"/>
    </row>
    <row r="187" spans="52:57" ht="15.95" hidden="1" customHeight="1">
      <c r="AZ187" s="25"/>
      <c r="BA187" s="31"/>
      <c r="BD187" s="31"/>
      <c r="BE187" s="31"/>
    </row>
    <row r="188" spans="52:57" ht="15.95" hidden="1" customHeight="1">
      <c r="AZ188" s="25"/>
      <c r="BA188" s="31"/>
      <c r="BD188" s="31"/>
      <c r="BE188" s="31"/>
    </row>
    <row r="189" spans="52:57" ht="15.95" hidden="1" customHeight="1">
      <c r="AZ189" s="25"/>
      <c r="BA189" s="31"/>
      <c r="BD189" s="31"/>
      <c r="BE189" s="31"/>
    </row>
    <row r="190" spans="52:57" ht="15.95" hidden="1" customHeight="1">
      <c r="AZ190" s="25"/>
      <c r="BA190" s="31"/>
      <c r="BD190" s="31"/>
      <c r="BE190" s="31"/>
    </row>
    <row r="191" spans="52:57" ht="15.95" hidden="1" customHeight="1">
      <c r="AZ191" s="25"/>
      <c r="BA191" s="31"/>
      <c r="BD191" s="31"/>
      <c r="BE191" s="31"/>
    </row>
    <row r="192" spans="52:57" ht="15.95" hidden="1" customHeight="1">
      <c r="AZ192" s="25"/>
      <c r="BA192" s="31"/>
      <c r="BD192" s="31"/>
      <c r="BE192" s="31"/>
    </row>
    <row r="193" spans="1:61" ht="15.95" hidden="1" customHeight="1">
      <c r="AZ193" s="25"/>
      <c r="BA193" s="31"/>
      <c r="BD193" s="31"/>
      <c r="BE193" s="31"/>
    </row>
    <row r="194" spans="1:61" ht="15.95" hidden="1" customHeight="1">
      <c r="AZ194" s="25"/>
      <c r="BA194" s="31"/>
      <c r="BD194" s="31"/>
      <c r="BE194" s="31"/>
    </row>
    <row r="195" spans="1:61" ht="15.95" hidden="1" customHeight="1">
      <c r="AZ195" s="25"/>
      <c r="BA195" s="31"/>
      <c r="BD195" s="31"/>
      <c r="BE195" s="31"/>
    </row>
    <row r="196" spans="1:61" ht="15.95" hidden="1" customHeight="1">
      <c r="AZ196" s="25"/>
      <c r="BA196" s="31"/>
      <c r="BD196" s="31"/>
      <c r="BE196" s="31"/>
    </row>
    <row r="197" spans="1:61" ht="15.95" hidden="1" customHeight="1">
      <c r="AZ197" s="25"/>
      <c r="BA197" s="31"/>
      <c r="BD197" s="31"/>
      <c r="BE197" s="31"/>
    </row>
    <row r="198" spans="1:61" ht="15.95" hidden="1" customHeight="1">
      <c r="AZ198" s="25"/>
      <c r="BA198" s="31"/>
      <c r="BD198" s="31"/>
      <c r="BE198" s="31"/>
    </row>
    <row r="199" spans="1:61" ht="15.95" hidden="1" customHeight="1">
      <c r="AZ199" s="25"/>
      <c r="BA199" s="31"/>
      <c r="BD199" s="31"/>
      <c r="BE199" s="31"/>
    </row>
    <row r="200" spans="1:61"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c r="BB200" s="1066">
        <f>IF(OR(COUNTIF(BB18:BC37,"Missing!")&gt;0,COUNTIF(BB18:BC37,0)&gt;0,IF(2*COUNTBLANK(AK18:AK37)=COUNTBLANK(BB18:BC37),0,1)&gt;0),"Missing Units on Custom Compressed Air / Process. ",SUM(BB18:BB37))</f>
        <v>0</v>
      </c>
      <c r="BC200" s="838">
        <f>SUM(BC18:BC37)</f>
        <v>0</v>
      </c>
      <c r="BD200" s="838">
        <f>SUM(BD18:BD37)</f>
        <v>0</v>
      </c>
      <c r="BE200" s="838">
        <f>SUM(BE18:BE37)</f>
        <v>0</v>
      </c>
      <c r="BH200" s="1065">
        <f>SUM(BH18:BH37)</f>
        <v>0</v>
      </c>
      <c r="BI200" s="1065">
        <f>SUM(BI18:BI37)</f>
        <v>0</v>
      </c>
    </row>
    <row r="201" spans="1:61"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c r="BB201" s="1066"/>
      <c r="BC201" s="838"/>
      <c r="BD201" s="838"/>
      <c r="BE201" s="838"/>
      <c r="BH201" s="837"/>
      <c r="BI201" s="837"/>
    </row>
    <row r="202" spans="1:61"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61" ht="15.95" hidden="1" customHeight="1"/>
    <row r="204" spans="1:61" ht="15.95" hidden="1" customHeight="1"/>
  </sheetData>
  <sheetProtection algorithmName="SHA-512" hashValue="ZOdfBnX5c8s1YLeXJNIr4thH7TJeC8TXwOT0mlANBjje7IKJk5fIsYf6kg0Xii3nBhoRaLrV+ayh0K5jNVfHDQ==" saltValue="4hg6o91MVqCSxG1HXMESDQ==" spinCount="100000" sheet="1" objects="1" scenarios="1" selectLockedCells="1"/>
  <mergeCells count="388">
    <mergeCell ref="AK26:AM27"/>
    <mergeCell ref="AN26:AQ27"/>
    <mergeCell ref="AH26:AJ27"/>
    <mergeCell ref="BA20:BA21"/>
    <mergeCell ref="AY24:AY25"/>
    <mergeCell ref="AZ24:AZ25"/>
    <mergeCell ref="BA24:BA25"/>
    <mergeCell ref="W9:Z11"/>
    <mergeCell ref="AA9:AD11"/>
    <mergeCell ref="AB24:AD25"/>
    <mergeCell ref="AE24:AG25"/>
    <mergeCell ref="AI13:AQ14"/>
    <mergeCell ref="BC18:BC19"/>
    <mergeCell ref="BB20:BB21"/>
    <mergeCell ref="BC20:BC21"/>
    <mergeCell ref="BB22:BB23"/>
    <mergeCell ref="BC22:BC23"/>
    <mergeCell ref="BB24:BB25"/>
    <mergeCell ref="BC24:BC25"/>
    <mergeCell ref="BB26:BB27"/>
    <mergeCell ref="BC26:BC27"/>
    <mergeCell ref="BB18:BB19"/>
    <mergeCell ref="L16:P17"/>
    <mergeCell ref="Q16:S17"/>
    <mergeCell ref="T16:X17"/>
    <mergeCell ref="Y16:AA17"/>
    <mergeCell ref="L18:P19"/>
    <mergeCell ref="Q18:S19"/>
    <mergeCell ref="L20:P21"/>
    <mergeCell ref="Q20:S21"/>
    <mergeCell ref="L22:P23"/>
    <mergeCell ref="Q22:S23"/>
    <mergeCell ref="T18:X19"/>
    <mergeCell ref="Y18:AA19"/>
    <mergeCell ref="T20:X21"/>
    <mergeCell ref="Y20:AA21"/>
    <mergeCell ref="T22:X23"/>
    <mergeCell ref="Y22:AA23"/>
    <mergeCell ref="A8:E8"/>
    <mergeCell ref="AQ8:AU8"/>
    <mergeCell ref="C16:K17"/>
    <mergeCell ref="AB16:AD17"/>
    <mergeCell ref="AE16:AG17"/>
    <mergeCell ref="C18:K19"/>
    <mergeCell ref="AB18:AD19"/>
    <mergeCell ref="AE18:AG19"/>
    <mergeCell ref="C20:K21"/>
    <mergeCell ref="AB20:AD21"/>
    <mergeCell ref="AE20:AG21"/>
    <mergeCell ref="AN20:AQ21"/>
    <mergeCell ref="AH20:AJ21"/>
    <mergeCell ref="AK20:AM21"/>
    <mergeCell ref="R12:U13"/>
    <mergeCell ref="V12:Y13"/>
    <mergeCell ref="Z12:AC13"/>
    <mergeCell ref="R14:U14"/>
    <mergeCell ref="V14:Y14"/>
    <mergeCell ref="Z14:AC14"/>
    <mergeCell ref="G9:J11"/>
    <mergeCell ref="K9:N11"/>
    <mergeCell ref="O9:R11"/>
    <mergeCell ref="S9:V11"/>
    <mergeCell ref="F1:I3"/>
    <mergeCell ref="J1:M3"/>
    <mergeCell ref="O1:AE3"/>
    <mergeCell ref="AL1:AO3"/>
    <mergeCell ref="AP1:AS3"/>
    <mergeCell ref="A5:E6"/>
    <mergeCell ref="AQ5:AU6"/>
    <mergeCell ref="A7:E7"/>
    <mergeCell ref="AQ7:AU7"/>
    <mergeCell ref="AT1:AW3"/>
    <mergeCell ref="M200:AG201"/>
    <mergeCell ref="BD200:BD201"/>
    <mergeCell ref="BE200:BE201"/>
    <mergeCell ref="BH200:BH201"/>
    <mergeCell ref="B38:B39"/>
    <mergeCell ref="B40:B41"/>
    <mergeCell ref="B42:B43"/>
    <mergeCell ref="B44:B45"/>
    <mergeCell ref="B46:B47"/>
    <mergeCell ref="BB200:BB201"/>
    <mergeCell ref="BC200:BC201"/>
    <mergeCell ref="AN36:AQ37"/>
    <mergeCell ref="AH36:AJ37"/>
    <mergeCell ref="AK36:AM37"/>
    <mergeCell ref="B36:B37"/>
    <mergeCell ref="C36:K37"/>
    <mergeCell ref="AB36:AD37"/>
    <mergeCell ref="AE36:AG37"/>
    <mergeCell ref="L36:P37"/>
    <mergeCell ref="Q36:S37"/>
    <mergeCell ref="T36:X37"/>
    <mergeCell ref="Y36:AA37"/>
    <mergeCell ref="AK34:AM35"/>
    <mergeCell ref="AN34:AQ35"/>
    <mergeCell ref="AH34:AJ35"/>
    <mergeCell ref="B34:B35"/>
    <mergeCell ref="C34:K35"/>
    <mergeCell ref="AB34:AD35"/>
    <mergeCell ref="AE34:AG35"/>
    <mergeCell ref="L34:P35"/>
    <mergeCell ref="Q34:S35"/>
    <mergeCell ref="T34:X35"/>
    <mergeCell ref="Y34:AA35"/>
    <mergeCell ref="AH30:AJ31"/>
    <mergeCell ref="AK30:AM31"/>
    <mergeCell ref="AN30:AQ31"/>
    <mergeCell ref="AN32:AQ33"/>
    <mergeCell ref="B30:B31"/>
    <mergeCell ref="AH32:AJ33"/>
    <mergeCell ref="AK32:AM33"/>
    <mergeCell ref="B32:B33"/>
    <mergeCell ref="C30:K31"/>
    <mergeCell ref="AB30:AD31"/>
    <mergeCell ref="AE30:AG31"/>
    <mergeCell ref="C32:K33"/>
    <mergeCell ref="AB32:AD33"/>
    <mergeCell ref="AE32:AG33"/>
    <mergeCell ref="L30:P31"/>
    <mergeCell ref="Q30:S31"/>
    <mergeCell ref="L32:P33"/>
    <mergeCell ref="Q32:S33"/>
    <mergeCell ref="T30:X31"/>
    <mergeCell ref="Y30:AA31"/>
    <mergeCell ref="T32:X33"/>
    <mergeCell ref="Y32:AA33"/>
    <mergeCell ref="AN28:AQ29"/>
    <mergeCell ref="AH28:AJ29"/>
    <mergeCell ref="AK28:AM29"/>
    <mergeCell ref="B28:B29"/>
    <mergeCell ref="C28:K29"/>
    <mergeCell ref="AB28:AD29"/>
    <mergeCell ref="AE28:AG29"/>
    <mergeCell ref="T28:X29"/>
    <mergeCell ref="Y28:AA29"/>
    <mergeCell ref="L28:P29"/>
    <mergeCell ref="Q28:S29"/>
    <mergeCell ref="B26:B27"/>
    <mergeCell ref="AH22:AJ23"/>
    <mergeCell ref="AK22:AM23"/>
    <mergeCell ref="AN22:AQ23"/>
    <mergeCell ref="AN24:AQ25"/>
    <mergeCell ref="B22:B23"/>
    <mergeCell ref="AH24:AJ25"/>
    <mergeCell ref="AK24:AM25"/>
    <mergeCell ref="B24:B25"/>
    <mergeCell ref="C22:K23"/>
    <mergeCell ref="AB22:AD23"/>
    <mergeCell ref="AE22:AG23"/>
    <mergeCell ref="C24:K25"/>
    <mergeCell ref="C26:K27"/>
    <mergeCell ref="AB26:AD27"/>
    <mergeCell ref="AE26:AG27"/>
    <mergeCell ref="L24:P25"/>
    <mergeCell ref="Q24:S25"/>
    <mergeCell ref="L26:P27"/>
    <mergeCell ref="Q26:S27"/>
    <mergeCell ref="T24:X25"/>
    <mergeCell ref="Y24:AA25"/>
    <mergeCell ref="T26:X27"/>
    <mergeCell ref="Y26:AA27"/>
    <mergeCell ref="BQ18:BQ19"/>
    <mergeCell ref="BR18:BR19"/>
    <mergeCell ref="B20:B21"/>
    <mergeCell ref="BK18:BK19"/>
    <mergeCell ref="BL18:BL19"/>
    <mergeCell ref="BM18:BM19"/>
    <mergeCell ref="BN18:BN19"/>
    <mergeCell ref="BO18:BO19"/>
    <mergeCell ref="BP18:BP19"/>
    <mergeCell ref="BE18:BE19"/>
    <mergeCell ref="BF18:BF19"/>
    <mergeCell ref="BG18:BG19"/>
    <mergeCell ref="BH18:BH19"/>
    <mergeCell ref="BI18:BI19"/>
    <mergeCell ref="BJ18:BJ19"/>
    <mergeCell ref="AK18:AM19"/>
    <mergeCell ref="AN18:AQ19"/>
    <mergeCell ref="AY18:AY19"/>
    <mergeCell ref="AZ18:AZ19"/>
    <mergeCell ref="BA18:BA19"/>
    <mergeCell ref="BD18:BD19"/>
    <mergeCell ref="AH18:AJ19"/>
    <mergeCell ref="AY20:AY21"/>
    <mergeCell ref="AZ20:AZ21"/>
    <mergeCell ref="BR16:BR17"/>
    <mergeCell ref="B18:B19"/>
    <mergeCell ref="BL16:BL17"/>
    <mergeCell ref="BM16:BM17"/>
    <mergeCell ref="BN16:BN17"/>
    <mergeCell ref="BO16:BO17"/>
    <mergeCell ref="BP16:BP17"/>
    <mergeCell ref="BQ16:BQ17"/>
    <mergeCell ref="BF16:BF17"/>
    <mergeCell ref="BG16:BG17"/>
    <mergeCell ref="BH16:BH17"/>
    <mergeCell ref="BI16:BI17"/>
    <mergeCell ref="BJ16:BJ17"/>
    <mergeCell ref="BK16:BK17"/>
    <mergeCell ref="AN16:AQ17"/>
    <mergeCell ref="AY16:AY17"/>
    <mergeCell ref="AZ16:AZ17"/>
    <mergeCell ref="BA16:BA17"/>
    <mergeCell ref="BD16:BD17"/>
    <mergeCell ref="BE16:BE17"/>
    <mergeCell ref="AH16:AJ17"/>
    <mergeCell ref="AK16:AM17"/>
    <mergeCell ref="BB16:BB17"/>
    <mergeCell ref="BC16:BC17"/>
    <mergeCell ref="BD20:BD21"/>
    <mergeCell ref="BE20:BE21"/>
    <mergeCell ref="BF20:BF21"/>
    <mergeCell ref="BG20:BG21"/>
    <mergeCell ref="BH20:BH21"/>
    <mergeCell ref="BI20:BI21"/>
    <mergeCell ref="BJ20:BJ21"/>
    <mergeCell ref="BK20:BK21"/>
    <mergeCell ref="BL20:BL21"/>
    <mergeCell ref="BM20:BM21"/>
    <mergeCell ref="BN20:BN21"/>
    <mergeCell ref="BO20:BO21"/>
    <mergeCell ref="BP20:BP21"/>
    <mergeCell ref="BQ20:BQ21"/>
    <mergeCell ref="BR20:BR21"/>
    <mergeCell ref="AY22:AY23"/>
    <mergeCell ref="AZ22:AZ23"/>
    <mergeCell ref="BA22:BA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Q22:BQ23"/>
    <mergeCell ref="BR22:BR23"/>
    <mergeCell ref="BD24:BD25"/>
    <mergeCell ref="BE24:BE25"/>
    <mergeCell ref="BF24:BF25"/>
    <mergeCell ref="BG24:BG25"/>
    <mergeCell ref="BH24:BH25"/>
    <mergeCell ref="BI24:BI25"/>
    <mergeCell ref="BJ24:BJ25"/>
    <mergeCell ref="BK24:BK25"/>
    <mergeCell ref="BL24:BL25"/>
    <mergeCell ref="BM24:BM25"/>
    <mergeCell ref="BN24:BN25"/>
    <mergeCell ref="BO24:BO25"/>
    <mergeCell ref="BP24:BP25"/>
    <mergeCell ref="BQ24:BQ25"/>
    <mergeCell ref="BR24:BR25"/>
    <mergeCell ref="AY26:AY27"/>
    <mergeCell ref="AZ26:AZ27"/>
    <mergeCell ref="BA26:BA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Q26:BQ27"/>
    <mergeCell ref="BR26:BR27"/>
    <mergeCell ref="AY28:AY29"/>
    <mergeCell ref="AZ28:AZ29"/>
    <mergeCell ref="BA28:BA29"/>
    <mergeCell ref="BD28:BD29"/>
    <mergeCell ref="BE28:BE29"/>
    <mergeCell ref="BF28:BF29"/>
    <mergeCell ref="BG28:BG29"/>
    <mergeCell ref="BH28:BH29"/>
    <mergeCell ref="BI28:BI29"/>
    <mergeCell ref="BB28:BB29"/>
    <mergeCell ref="BC28:BC29"/>
    <mergeCell ref="BJ28:BJ29"/>
    <mergeCell ref="BK28:BK29"/>
    <mergeCell ref="BL28:BL29"/>
    <mergeCell ref="BM28:BM29"/>
    <mergeCell ref="BN28:BN29"/>
    <mergeCell ref="BO28:BO29"/>
    <mergeCell ref="BP28:BP29"/>
    <mergeCell ref="BQ28:BQ29"/>
    <mergeCell ref="BR28:BR29"/>
    <mergeCell ref="AY30:AY31"/>
    <mergeCell ref="AZ30:AZ31"/>
    <mergeCell ref="BA30:BA31"/>
    <mergeCell ref="BD30:BD31"/>
    <mergeCell ref="BE30:BE31"/>
    <mergeCell ref="BF30:BF31"/>
    <mergeCell ref="BG30:BG31"/>
    <mergeCell ref="BH30:BH31"/>
    <mergeCell ref="BI30:BI31"/>
    <mergeCell ref="BB30:BB31"/>
    <mergeCell ref="BC30:BC31"/>
    <mergeCell ref="BJ30:BJ31"/>
    <mergeCell ref="BK30:BK31"/>
    <mergeCell ref="BL30:BL31"/>
    <mergeCell ref="BM30:BM31"/>
    <mergeCell ref="BN30:BN31"/>
    <mergeCell ref="BO30:BO31"/>
    <mergeCell ref="BP30:BP31"/>
    <mergeCell ref="BQ30:BQ31"/>
    <mergeCell ref="BR30:BR31"/>
    <mergeCell ref="AY32:AY33"/>
    <mergeCell ref="AZ32:AZ33"/>
    <mergeCell ref="BA32:BA33"/>
    <mergeCell ref="BD32:BD33"/>
    <mergeCell ref="BE32:BE33"/>
    <mergeCell ref="BF32:BF33"/>
    <mergeCell ref="BG32:BG33"/>
    <mergeCell ref="BH32:BH33"/>
    <mergeCell ref="BI32:BI33"/>
    <mergeCell ref="BB32:BB33"/>
    <mergeCell ref="BC32:BC33"/>
    <mergeCell ref="BJ32:BJ33"/>
    <mergeCell ref="BK32:BK33"/>
    <mergeCell ref="BL32:BL33"/>
    <mergeCell ref="BM32:BM33"/>
    <mergeCell ref="BN32:BN33"/>
    <mergeCell ref="BO32:BO33"/>
    <mergeCell ref="BP32:BP33"/>
    <mergeCell ref="BQ32:BQ33"/>
    <mergeCell ref="BR32:BR33"/>
    <mergeCell ref="BN34:BN35"/>
    <mergeCell ref="BO34:BO35"/>
    <mergeCell ref="BP34:BP35"/>
    <mergeCell ref="BQ34:BQ35"/>
    <mergeCell ref="BR34:BR35"/>
    <mergeCell ref="AY34:AY35"/>
    <mergeCell ref="AZ34:AZ35"/>
    <mergeCell ref="BA34:BA35"/>
    <mergeCell ref="BD34:BD35"/>
    <mergeCell ref="BE34:BE35"/>
    <mergeCell ref="BF34:BF35"/>
    <mergeCell ref="BG34:BG35"/>
    <mergeCell ref="BH34:BH35"/>
    <mergeCell ref="BI34:BI35"/>
    <mergeCell ref="BB34:BB35"/>
    <mergeCell ref="BC34:BC35"/>
    <mergeCell ref="BL34:BL35"/>
    <mergeCell ref="AY36:AY37"/>
    <mergeCell ref="AZ36:AZ37"/>
    <mergeCell ref="BA36:BA37"/>
    <mergeCell ref="BD36:BD37"/>
    <mergeCell ref="BE36:BE37"/>
    <mergeCell ref="BF36:BF37"/>
    <mergeCell ref="BG36:BG37"/>
    <mergeCell ref="BH36:BH37"/>
    <mergeCell ref="BI36:BI37"/>
    <mergeCell ref="BB36:BB37"/>
    <mergeCell ref="BC36:BC37"/>
    <mergeCell ref="BI200:BI201"/>
    <mergeCell ref="BS34:BS35"/>
    <mergeCell ref="BS36:BS37"/>
    <mergeCell ref="BS16:BS17"/>
    <mergeCell ref="BS18:BS19"/>
    <mergeCell ref="BS20:BS21"/>
    <mergeCell ref="BS22:BS23"/>
    <mergeCell ref="BS24:BS25"/>
    <mergeCell ref="BS26:BS27"/>
    <mergeCell ref="BS28:BS29"/>
    <mergeCell ref="BS30:BS31"/>
    <mergeCell ref="BS32:BS33"/>
    <mergeCell ref="BJ36:BJ37"/>
    <mergeCell ref="BK36:BK37"/>
    <mergeCell ref="BL36:BL37"/>
    <mergeCell ref="BM36:BM37"/>
    <mergeCell ref="BN36:BN37"/>
    <mergeCell ref="BO36:BO37"/>
    <mergeCell ref="BP36:BP37"/>
    <mergeCell ref="BQ36:BQ37"/>
    <mergeCell ref="BR36:BR37"/>
    <mergeCell ref="BJ34:BJ35"/>
    <mergeCell ref="BK34:BK35"/>
    <mergeCell ref="BM34:BM35"/>
  </mergeCells>
  <conditionalFormatting sqref="C18:K37">
    <cfRule type="expression" dxfId="87" priority="12">
      <formula>IF(AND($C18&lt;&gt;"",OR(ISBLANK(C18)=TRUE,C18="")),TRUE,FALSE)</formula>
    </cfRule>
  </conditionalFormatting>
  <conditionalFormatting sqref="L18 Q18">
    <cfRule type="expression" dxfId="86" priority="4">
      <formula>IF(AND($C18&lt;&gt;"",OR(ISBLANK(L18)=TRUE,L18="")),TRUE,FALSE)</formula>
    </cfRule>
  </conditionalFormatting>
  <conditionalFormatting sqref="L20 Q20">
    <cfRule type="expression" dxfId="85" priority="10">
      <formula>IF(AND($C20&lt;&gt;"",OR(ISBLANK(L20)=TRUE,L20="")),TRUE,FALSE)</formula>
    </cfRule>
  </conditionalFormatting>
  <conditionalFormatting sqref="L22 Q22 L24 Q24 L26 Q26 L28 Q28 L30 Q30 L32 Q32 L34 Q34 L36 Q36">
    <cfRule type="expression" dxfId="84" priority="8">
      <formula>IF(AND($C22&lt;&gt;"",OR(ISBLANK(L22)=TRUE,L22="")),TRUE,FALSE)</formula>
    </cfRule>
  </conditionalFormatting>
  <conditionalFormatting sqref="T18 Y18">
    <cfRule type="expression" dxfId="83" priority="3">
      <formula>IF(AND($C18&lt;&gt;"",OR(ISBLANK(T18)=TRUE,T18="")),TRUE,FALSE)</formula>
    </cfRule>
  </conditionalFormatting>
  <conditionalFormatting sqref="T20 Y20">
    <cfRule type="expression" dxfId="82" priority="7">
      <formula>IF(AND($C20&lt;&gt;"",OR(ISBLANK(T20)=TRUE,T20="")),TRUE,FALSE)</formula>
    </cfRule>
  </conditionalFormatting>
  <conditionalFormatting sqref="T22 Y22 T24 Y24 T26 Y26 T28 Y28 T30 Y30 T32 Y32 T34 Y34 T36 Y36">
    <cfRule type="expression" dxfId="81" priority="6">
      <formula>IF(AND($C22&lt;&gt;"",OR(ISBLANK(T22)=TRUE,T22="")),TRUE,FALSE)</formula>
    </cfRule>
  </conditionalFormatting>
  <conditionalFormatting sqref="AB18:AG37">
    <cfRule type="expression" dxfId="80" priority="5">
      <formula>IF(AND($C18&lt;&gt;"",OR(ISBLANK(AB18)=TRUE,AB18="")),TRUE,FALSE)</formula>
    </cfRule>
  </conditionalFormatting>
  <conditionalFormatting sqref="AN18:AQ37">
    <cfRule type="expression" dxfId="79" priority="1" stopIfTrue="1">
      <formula>ISNUMBER($AN18)=FALSE</formula>
    </cfRule>
    <cfRule type="expression" dxfId="78" priority="9">
      <formula>$AN18 &lt;&gt; $BJ18</formula>
    </cfRule>
  </conditionalFormatting>
  <conditionalFormatting sqref="AQ8:AW8">
    <cfRule type="expression" dxfId="77" priority="1672">
      <formula>IF($AQ$8=PROJSTATMEASURE,FALSE,TRUE)</formula>
    </cfRule>
  </conditionalFormatting>
  <conditionalFormatting sqref="BB18:BC37 BI18:BI37">
    <cfRule type="expression" dxfId="76" priority="2">
      <formula>IF(AND(ISNUMBER($AK18),OR(BB18="Missing!",BB18="")),TRUE,FALSE)</formula>
    </cfRule>
  </conditionalFormatting>
  <dataValidations count="6">
    <dataValidation type="decimal" allowBlank="1" showInputMessage="1" showErrorMessage="1" sqref="P22:P37 P18:P19 X18:X37" xr:uid="{254BCFB8-657D-4261-AED1-9B22FFFF3354}">
      <formula1>0</formula1>
      <formula2>999999</formula2>
    </dataValidation>
    <dataValidation type="decimal" allowBlank="1" showInputMessage="1" showErrorMessage="1" prompt="Input the total cost of the Baseline Equipment" sqref="AB18:AD37" xr:uid="{74B9D1C1-FFD4-4988-B8E7-6DB8D745A42C}">
      <formula1>0</formula1>
      <formula2>999999999</formula2>
    </dataValidation>
    <dataValidation type="decimal" allowBlank="1" showInputMessage="1" showErrorMessage="1" prompt="Input the total cost of the Efficient Equipment" sqref="AE18:AG37" xr:uid="{A731497D-714C-4FDC-8346-9FE318CA1EB7}">
      <formula1>AB18</formula1>
      <formula2>999999999</formula2>
    </dataValidation>
    <dataValidation type="list" allowBlank="1" showInputMessage="1" showErrorMessage="1" sqref="C18:K37" xr:uid="{2B21B711-06B3-482D-A4C7-3250F723A5DF}">
      <formula1>CMECOMPAIRLIST_N</formula1>
    </dataValidation>
    <dataValidation type="list" allowBlank="1" showInputMessage="1" sqref="BG18:BG37" xr:uid="{4E4970D9-B15D-4810-BF39-53A43F37F87F}">
      <formula1>ENDUSECAT</formula1>
    </dataValidation>
    <dataValidation type="whole" operator="greaterThanOrEqual" allowBlank="1" showInputMessage="1" showErrorMessage="1" errorTitle="Invalid Entry" error="Value must be a whole number." sqref="Q18:S37 Y18:AA37" xr:uid="{DD889789-9250-4E13-811E-00D786476DE2}">
      <formula1>0</formula1>
    </dataValidation>
  </dataValidations>
  <hyperlinks>
    <hyperlink ref="G9:J11" location="'M03-S04'!C18" tooltip="Refrigeration" display="'M03-S04'!C18" xr:uid="{10677A5B-3721-475E-B740-B5AEF842E046}"/>
    <hyperlink ref="K9:N11" location="'M03-S05'!C18" tooltip="HVAC" display="'M03-S05'!C18" xr:uid="{791FA03E-0032-4C9A-B1FD-9D186B1131A4}"/>
    <hyperlink ref="S9:V11" location="'M03-S06'!C18" tooltip="Compressed Air / Process" display="'M03-S06'!C18" xr:uid="{E7BFAEF7-8328-4692-817C-946803929928}"/>
    <hyperlink ref="W9:Z11" location="'M03-S07'!C18" tooltip="Water Heating / Cooking" display="'M03-S07'!C18" xr:uid="{9F326566-4AAF-49FF-8B70-527F75953330}"/>
    <hyperlink ref="O9:R11" location="'M03-S08'!C18" tooltip="Motors and Drives" display="'M03-S08'!C18" xr:uid="{DA6559F7-CC17-4E99-BA13-872939EC9220}"/>
    <hyperlink ref="AA9:AD11" location="'M04-S09'!C18" tooltip="Miscellaneous" display="'M04-S09'!C18" xr:uid="{7C224E5F-FD2E-427C-99EA-C7B3FD07D0BD}"/>
    <hyperlink ref="B202" r:id="rId1" display="businessrebates@evergy.com" xr:uid="{B0636E96-D7C4-4CB6-A0C7-16C34D20119F}"/>
  </hyperlinks>
  <printOptions horizontalCentered="1"/>
  <pageMargins left="0" right="0" top="0" bottom="0" header="0" footer="0"/>
  <pageSetup scale="4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4AD6D-4EA5-4D3C-BDD2-FA11604F4257}">
  <sheetPr codeName="Sheet33">
    <tabColor theme="9" tint="0.59999389629810485"/>
    <pageSetUpPr fitToPage="1"/>
  </sheetPr>
  <dimension ref="A1:BS204"/>
  <sheetViews>
    <sheetView showGridLines="0" showRowColHeaders="0" zoomScale="85" zoomScaleNormal="85" workbookViewId="0">
      <selection activeCell="C18" sqref="C18:K19"/>
    </sheetView>
  </sheetViews>
  <sheetFormatPr defaultColWidth="0" defaultRowHeight="15" customHeight="1" zeroHeight="1"/>
  <cols>
    <col min="1" max="49" width="4.7109375" customWidth="1"/>
    <col min="50" max="50" width="4.7109375" hidden="1"/>
    <col min="51" max="52" width="9.7109375" hidden="1"/>
    <col min="53" max="53" width="14.85546875" hidden="1"/>
    <col min="54" max="68" width="9.7109375" hidden="1"/>
    <col min="69" max="69" width="9.85546875" hidden="1"/>
    <col min="70" max="70" width="10.42578125" hidden="1"/>
    <col min="71" max="71" width="9.7109375" hidden="1"/>
    <col min="72" max="16384" width="4.7109375" hidden="1"/>
  </cols>
  <sheetData>
    <row r="1" spans="1:71"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71"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71"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71" ht="15.95" customHeight="1">
      <c r="B4" s="199"/>
      <c r="C4" s="199"/>
      <c r="D4" s="199"/>
      <c r="E4" s="199"/>
    </row>
    <row r="5" spans="1:71" ht="15.95" customHeight="1">
      <c r="A5" s="667">
        <f>INCENTOTAL_N</f>
        <v>0</v>
      </c>
      <c r="B5" s="667"/>
      <c r="C5" s="667"/>
      <c r="D5" s="667"/>
      <c r="E5" s="667"/>
      <c r="AQ5" s="668">
        <f ca="1">PROGRESSSTATUS_N</f>
        <v>0</v>
      </c>
      <c r="AR5" s="668"/>
      <c r="AS5" s="668"/>
      <c r="AT5" s="668"/>
      <c r="AU5" s="668"/>
      <c r="AV5" s="557"/>
      <c r="AW5" s="557"/>
      <c r="AY5" s="21"/>
      <c r="AZ5" s="110" t="s">
        <v>844</v>
      </c>
      <c r="BA5" s="110" t="s">
        <v>198</v>
      </c>
    </row>
    <row r="6" spans="1:71" ht="15.95" customHeight="1">
      <c r="A6" s="667"/>
      <c r="B6" s="667"/>
      <c r="C6" s="667"/>
      <c r="D6" s="667"/>
      <c r="E6" s="667"/>
      <c r="AQ6" s="668"/>
      <c r="AR6" s="668"/>
      <c r="AS6" s="668"/>
      <c r="AT6" s="668"/>
      <c r="AU6" s="668"/>
      <c r="AV6" s="557"/>
      <c r="AW6" s="557"/>
      <c r="AY6" s="109" t="s">
        <v>26</v>
      </c>
      <c r="AZ6" s="108" t="str">
        <f>CBLIGHT_N</f>
        <v>NA</v>
      </c>
      <c r="BA6" s="176" t="str">
        <f>PAYLIGHT_N</f>
        <v>NA</v>
      </c>
    </row>
    <row r="7" spans="1:71" ht="15.95" customHeight="1">
      <c r="A7" s="665" t="s">
        <v>20</v>
      </c>
      <c r="B7" s="665"/>
      <c r="C7" s="665"/>
      <c r="D7" s="665"/>
      <c r="E7" s="665"/>
      <c r="AQ7" s="665" t="s">
        <v>179</v>
      </c>
      <c r="AR7" s="665"/>
      <c r="AS7" s="665"/>
      <c r="AT7" s="665"/>
      <c r="AU7" s="665"/>
      <c r="AV7" s="556"/>
      <c r="AW7" s="556"/>
      <c r="AY7" s="109" t="s">
        <v>50</v>
      </c>
      <c r="AZ7" s="108" t="str">
        <f>CBCUST_N</f>
        <v>NA</v>
      </c>
      <c r="BA7" s="176" t="str">
        <f>PAYCUST_N</f>
        <v>NA</v>
      </c>
    </row>
    <row r="8" spans="1:71" ht="15.95" customHeight="1" thickBot="1">
      <c r="A8" s="665"/>
      <c r="B8" s="665"/>
      <c r="C8" s="665"/>
      <c r="D8" s="665"/>
      <c r="E8" s="665"/>
      <c r="AQ8" s="674" t="str">
        <f ca="1">PROJSTATUS_N</f>
        <v>Enter Measures</v>
      </c>
      <c r="AR8" s="674"/>
      <c r="AS8" s="674"/>
      <c r="AT8" s="674"/>
      <c r="AU8" s="674"/>
      <c r="AV8" s="558"/>
      <c r="AW8" s="558"/>
      <c r="AY8" s="109" t="s">
        <v>273</v>
      </c>
      <c r="AZ8" s="108" t="str">
        <f>CBPROJ_N</f>
        <v>NA</v>
      </c>
      <c r="BA8" s="176" t="str">
        <f>PAYPROJ_N</f>
        <v>NA</v>
      </c>
    </row>
    <row r="9" spans="1:71" s="79" customFormat="1" ht="15.95" customHeight="1">
      <c r="A9" s="102"/>
      <c r="B9" s="102"/>
      <c r="C9" s="102"/>
      <c r="D9" s="102"/>
      <c r="E9" s="102"/>
      <c r="F9" s="102"/>
      <c r="G9" s="930" t="str">
        <f>N4S1</f>
        <v>HVAC</v>
      </c>
      <c r="H9" s="931"/>
      <c r="I9" s="931"/>
      <c r="J9" s="931"/>
      <c r="K9" s="930" t="str">
        <f>N4S2</f>
        <v>Motors and Drives</v>
      </c>
      <c r="L9" s="931"/>
      <c r="M9" s="931"/>
      <c r="N9" s="931"/>
      <c r="O9" s="930" t="str">
        <f>N4S3</f>
        <v>Compressed Air / Process</v>
      </c>
      <c r="P9" s="931"/>
      <c r="Q9" s="931"/>
      <c r="R9" s="931"/>
      <c r="S9" s="925" t="str">
        <f>N4S4</f>
        <v>Refrigeration</v>
      </c>
      <c r="T9" s="925"/>
      <c r="U9" s="925"/>
      <c r="V9" s="925"/>
      <c r="W9" s="930" t="str">
        <f>N4S5</f>
        <v>Water Heating / Food Services</v>
      </c>
      <c r="X9" s="931"/>
      <c r="Y9" s="931"/>
      <c r="Z9" s="931"/>
      <c r="AA9" s="930" t="str">
        <f>N4S6</f>
        <v>Miscellaneous</v>
      </c>
      <c r="AB9" s="931"/>
      <c r="AC9" s="931"/>
      <c r="AD9" s="931"/>
      <c r="AE9" s="101"/>
      <c r="AF9" s="101"/>
      <c r="AG9" s="101"/>
      <c r="AH9" s="101"/>
      <c r="AI9" s="101"/>
      <c r="AJ9" s="101"/>
      <c r="AK9" s="101"/>
      <c r="AL9" s="101"/>
      <c r="AM9" s="101"/>
      <c r="AN9" s="101"/>
      <c r="AO9" s="101"/>
      <c r="AP9" s="101"/>
      <c r="AQ9" s="101"/>
      <c r="AR9" s="101"/>
      <c r="AS9" s="101"/>
      <c r="AT9" s="101"/>
      <c r="AU9" s="101"/>
      <c r="AV9" s="101"/>
      <c r="AW9" s="101"/>
      <c r="AX9"/>
      <c r="AY9" s="107" t="s">
        <v>828</v>
      </c>
      <c r="AZ9" s="399" t="str">
        <f ca="1">NEWCONCODE</f>
        <v>IECC 2012</v>
      </c>
    </row>
    <row r="10" spans="1:71" s="79" customFormat="1" ht="15.95" customHeight="1">
      <c r="B10" s="80"/>
      <c r="C10" s="80"/>
      <c r="D10" s="80"/>
      <c r="F10"/>
      <c r="G10" s="932"/>
      <c r="H10" s="932"/>
      <c r="I10" s="932"/>
      <c r="J10" s="932"/>
      <c r="K10" s="932"/>
      <c r="L10" s="932"/>
      <c r="M10" s="932"/>
      <c r="N10" s="932"/>
      <c r="O10" s="932"/>
      <c r="P10" s="932"/>
      <c r="Q10" s="932"/>
      <c r="R10" s="932"/>
      <c r="S10" s="926"/>
      <c r="T10" s="926"/>
      <c r="U10" s="926"/>
      <c r="V10" s="926"/>
      <c r="W10" s="932"/>
      <c r="X10" s="932"/>
      <c r="Y10" s="932"/>
      <c r="Z10" s="932"/>
      <c r="AA10" s="932"/>
      <c r="AB10" s="932"/>
      <c r="AC10" s="932"/>
      <c r="AD10" s="932"/>
      <c r="AE10" s="80"/>
      <c r="AO10"/>
      <c r="AQ10" s="80"/>
      <c r="AR10" s="80"/>
      <c r="AX10"/>
    </row>
    <row r="11" spans="1:71" ht="15.95" customHeight="1">
      <c r="B11" s="97"/>
      <c r="C11" s="97"/>
      <c r="D11" s="97"/>
      <c r="G11" s="932"/>
      <c r="H11" s="932"/>
      <c r="I11" s="932"/>
      <c r="J11" s="932"/>
      <c r="K11" s="932"/>
      <c r="L11" s="932"/>
      <c r="M11" s="932"/>
      <c r="N11" s="932"/>
      <c r="O11" s="932"/>
      <c r="P11" s="932"/>
      <c r="Q11" s="932"/>
      <c r="R11" s="932"/>
      <c r="S11" s="926"/>
      <c r="T11" s="926"/>
      <c r="U11" s="926"/>
      <c r="V11" s="926"/>
      <c r="W11" s="932"/>
      <c r="X11" s="932"/>
      <c r="Y11" s="932"/>
      <c r="Z11" s="932"/>
      <c r="AA11" s="932"/>
      <c r="AB11" s="932"/>
      <c r="AC11" s="932"/>
      <c r="AD11" s="932"/>
      <c r="AE11" s="97"/>
      <c r="AQ11" s="97"/>
      <c r="AR11" s="97"/>
    </row>
    <row r="12" spans="1:71" ht="15.95" customHeight="1">
      <c r="A12" s="77"/>
      <c r="B12" s="77"/>
      <c r="C12" s="77"/>
      <c r="D12" s="77"/>
      <c r="E12" s="77"/>
      <c r="R12" s="789">
        <f>SUM(AN18:AQ184)</f>
        <v>0</v>
      </c>
      <c r="S12" s="789"/>
      <c r="T12" s="789"/>
      <c r="U12" s="789"/>
      <c r="V12" s="789">
        <f ca="1">SUMIF(AN18:AQ184,"&gt;0",AH18:AJ184)</f>
        <v>0</v>
      </c>
      <c r="W12" s="789"/>
      <c r="X12" s="789"/>
      <c r="Y12" s="789"/>
      <c r="Z12" s="790">
        <f ca="1">SUMIF(AN18:AQ184,"&gt;0",AK18:AM184)</f>
        <v>0</v>
      </c>
      <c r="AA12" s="790"/>
      <c r="AB12" s="790"/>
      <c r="AC12" s="790"/>
      <c r="AP12" s="456"/>
    </row>
    <row r="13" spans="1:71" ht="15.95" customHeight="1">
      <c r="A13" s="77"/>
      <c r="B13" s="77"/>
      <c r="C13" s="326"/>
      <c r="D13" s="326"/>
      <c r="E13" s="326"/>
      <c r="F13" s="326"/>
      <c r="G13" s="326"/>
      <c r="H13" s="326"/>
      <c r="I13" s="326"/>
      <c r="J13" s="326"/>
      <c r="K13" s="326"/>
      <c r="L13" s="326"/>
      <c r="M13" s="326"/>
      <c r="N13" s="326"/>
      <c r="O13" s="326"/>
      <c r="P13" s="326"/>
      <c r="R13" s="789"/>
      <c r="S13" s="789"/>
      <c r="T13" s="789"/>
      <c r="U13" s="789"/>
      <c r="V13" s="789"/>
      <c r="W13" s="789"/>
      <c r="X13" s="789"/>
      <c r="Y13" s="789"/>
      <c r="Z13" s="790"/>
      <c r="AA13" s="790"/>
      <c r="AB13" s="790"/>
      <c r="AC13" s="790"/>
      <c r="AI13" s="786" t="str">
        <f>IF(IFERROR(MATCH("100% Incremental Cost", BP:BP, 0), FALSE), "The incentive for one or more measures is capped due to measure cost.", "")</f>
        <v/>
      </c>
      <c r="AJ13" s="786"/>
      <c r="AK13" s="786"/>
      <c r="AL13" s="786"/>
      <c r="AM13" s="786"/>
      <c r="AN13" s="786"/>
      <c r="AO13" s="786"/>
      <c r="AP13" s="786"/>
      <c r="AQ13" s="786"/>
    </row>
    <row r="14" spans="1:71" ht="15.95" customHeight="1">
      <c r="R14" s="793" t="s">
        <v>1204</v>
      </c>
      <c r="S14" s="793"/>
      <c r="T14" s="793"/>
      <c r="U14" s="793"/>
      <c r="V14" s="793" t="s">
        <v>4</v>
      </c>
      <c r="W14" s="793"/>
      <c r="X14" s="793"/>
      <c r="Y14" s="793"/>
      <c r="Z14" s="793" t="s">
        <v>776</v>
      </c>
      <c r="AA14" s="793"/>
      <c r="AB14" s="793"/>
      <c r="AC14" s="793"/>
      <c r="AI14" s="786"/>
      <c r="AJ14" s="786"/>
      <c r="AK14" s="786"/>
      <c r="AL14" s="786"/>
      <c r="AM14" s="786"/>
      <c r="AN14" s="786"/>
      <c r="AO14" s="786"/>
      <c r="AP14" s="786"/>
      <c r="AQ14" s="786"/>
    </row>
    <row r="15" spans="1:71" ht="15.95" customHeight="1"/>
    <row r="16" spans="1:71" ht="15.95" customHeight="1">
      <c r="C16" s="794" t="s">
        <v>811</v>
      </c>
      <c r="D16" s="794"/>
      <c r="E16" s="794"/>
      <c r="F16" s="794"/>
      <c r="G16" s="794"/>
      <c r="H16" s="794"/>
      <c r="I16" s="794"/>
      <c r="J16" s="794"/>
      <c r="K16" s="794"/>
      <c r="L16" s="794" t="s">
        <v>840</v>
      </c>
      <c r="M16" s="794"/>
      <c r="N16" s="794"/>
      <c r="O16" s="794"/>
      <c r="P16" s="794"/>
      <c r="Q16" s="794" t="s">
        <v>1971</v>
      </c>
      <c r="R16" s="794"/>
      <c r="S16" s="794"/>
      <c r="T16" s="794" t="s">
        <v>841</v>
      </c>
      <c r="U16" s="794"/>
      <c r="V16" s="794"/>
      <c r="W16" s="794"/>
      <c r="X16" s="794"/>
      <c r="Y16" s="794" t="s">
        <v>1972</v>
      </c>
      <c r="Z16" s="794"/>
      <c r="AA16" s="794"/>
      <c r="AB16" s="794" t="s">
        <v>1525</v>
      </c>
      <c r="AC16" s="794"/>
      <c r="AD16" s="794"/>
      <c r="AE16" s="794" t="s">
        <v>1526</v>
      </c>
      <c r="AF16" s="794"/>
      <c r="AG16" s="794"/>
      <c r="AH16" s="794" t="s">
        <v>832</v>
      </c>
      <c r="AI16" s="794"/>
      <c r="AJ16" s="794"/>
      <c r="AK16" s="794" t="s">
        <v>725</v>
      </c>
      <c r="AL16" s="794"/>
      <c r="AM16" s="794"/>
      <c r="AN16" s="794" t="s">
        <v>20</v>
      </c>
      <c r="AO16" s="794"/>
      <c r="AP16" s="794"/>
      <c r="AQ16" s="794"/>
      <c r="AR16" s="56"/>
      <c r="AS16" s="56"/>
      <c r="AT16" s="56"/>
      <c r="AU16" s="56"/>
      <c r="AV16" s="56"/>
      <c r="AW16" s="56"/>
      <c r="AY16" s="796" t="s">
        <v>48</v>
      </c>
      <c r="AZ16" s="796" t="s">
        <v>198</v>
      </c>
      <c r="BA16" s="796" t="s">
        <v>733</v>
      </c>
      <c r="BB16" s="796" t="s">
        <v>2039</v>
      </c>
      <c r="BC16" s="796" t="s">
        <v>850</v>
      </c>
      <c r="BD16" s="796" t="s">
        <v>300</v>
      </c>
      <c r="BE16" s="796" t="s">
        <v>822</v>
      </c>
      <c r="BF16" s="796" t="s">
        <v>25</v>
      </c>
      <c r="BG16" s="796" t="s">
        <v>836</v>
      </c>
      <c r="BH16" s="796" t="s">
        <v>838</v>
      </c>
      <c r="BI16" s="796" t="s">
        <v>1012</v>
      </c>
      <c r="BJ16" s="798" t="s">
        <v>1321</v>
      </c>
      <c r="BK16" s="798" t="s">
        <v>320</v>
      </c>
      <c r="BL16" s="796"/>
      <c r="BM16" s="796"/>
      <c r="BN16" s="796" t="s">
        <v>1240</v>
      </c>
      <c r="BO16" s="796" t="s">
        <v>22</v>
      </c>
      <c r="BP16" s="796" t="s">
        <v>837</v>
      </c>
      <c r="BQ16" s="796" t="s">
        <v>185</v>
      </c>
      <c r="BR16" s="798" t="s">
        <v>1324</v>
      </c>
      <c r="BS16" s="798" t="s">
        <v>1903</v>
      </c>
    </row>
    <row r="17" spans="1:71" ht="15.95" customHeight="1" thickBot="1">
      <c r="B17" s="21"/>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36"/>
      <c r="AS17" s="36"/>
      <c r="AT17" s="36"/>
      <c r="AU17" s="36"/>
      <c r="AV17" s="36"/>
      <c r="AW17" s="36"/>
      <c r="AY17" s="797"/>
      <c r="AZ17" s="797"/>
      <c r="BA17" s="797"/>
      <c r="BB17" s="797"/>
      <c r="BC17" s="797"/>
      <c r="BD17" s="797"/>
      <c r="BE17" s="797"/>
      <c r="BF17" s="797"/>
      <c r="BG17" s="797"/>
      <c r="BH17" s="797"/>
      <c r="BI17" s="797"/>
      <c r="BJ17" s="799"/>
      <c r="BK17" s="799"/>
      <c r="BL17" s="797"/>
      <c r="BM17" s="797"/>
      <c r="BN17" s="797"/>
      <c r="BO17" s="797"/>
      <c r="BP17" s="797"/>
      <c r="BQ17" s="797"/>
      <c r="BR17" s="799"/>
      <c r="BS17" s="799"/>
    </row>
    <row r="18" spans="1:71" ht="15.95" customHeight="1">
      <c r="B18" s="800">
        <v>1</v>
      </c>
      <c r="C18" s="1107"/>
      <c r="D18" s="1108"/>
      <c r="E18" s="1108"/>
      <c r="F18" s="1108"/>
      <c r="G18" s="1108"/>
      <c r="H18" s="1108"/>
      <c r="I18" s="1108"/>
      <c r="J18" s="1108"/>
      <c r="K18" s="1108"/>
      <c r="L18" s="1079"/>
      <c r="M18" s="1079"/>
      <c r="N18" s="1079"/>
      <c r="O18" s="1079"/>
      <c r="P18" s="1118"/>
      <c r="Q18" s="1116"/>
      <c r="R18" s="1076"/>
      <c r="S18" s="1076"/>
      <c r="T18" s="1079"/>
      <c r="U18" s="1079"/>
      <c r="V18" s="1079"/>
      <c r="W18" s="1079"/>
      <c r="X18" s="1118"/>
      <c r="Y18" s="1116"/>
      <c r="Z18" s="1076"/>
      <c r="AA18" s="1076"/>
      <c r="AB18" s="1109"/>
      <c r="AC18" s="1109"/>
      <c r="AD18" s="1110"/>
      <c r="AE18" s="1111"/>
      <c r="AF18" s="1112"/>
      <c r="AG18" s="1112"/>
      <c r="AH18" s="1114" t="str">
        <f>IF(OR(C18="",L18="",Q18="",T18="",Y18="",AB18="",AE18=""),"",ROUND(AE18-AB18,2))</f>
        <v/>
      </c>
      <c r="AI18" s="1114"/>
      <c r="AJ18" s="1115"/>
      <c r="AK18" s="831" t="str">
        <f>IF(OR(C18="",L18="",Q18="",T18="",Y18="",AB18="",AE18=""),"",IF(BD18-BE18&lt;=0,0,ROUND(BD18-BE18,0)))</f>
        <v/>
      </c>
      <c r="AL18" s="831"/>
      <c r="AM18" s="831"/>
      <c r="AN18" s="833" t="str">
        <f>IF(OR(C18="",L18="",Q18="",T18="",Y18="",AB18="",AE18=""),"",
IF(BQ18&lt;&gt;"",BQ18,IF(BS18&gt;0,BS18,
IF(ACTIVEBLOCK_N="Yes",ROUND(MIN(AH18*INCCOSTCAP,AK18*BLOCKBIDRATE),2),
ROUND(MIN(AH18*INCCOSTCAP,BJ18),2))
)))</f>
        <v/>
      </c>
      <c r="AO18" s="833"/>
      <c r="AP18" s="833"/>
      <c r="AQ18" s="833"/>
      <c r="AR18" s="36"/>
      <c r="AS18" s="36"/>
      <c r="AT18" s="36"/>
      <c r="AU18" s="36"/>
      <c r="AV18" s="36"/>
      <c r="AW18" s="36"/>
      <c r="AY18" s="835" t="str">
        <f>IFERROR(IF(OR(C18="",L18="",Q18="",T18="",Y18="",AB18="",AE18=""),"",ROUND(BR18/AH18,2)),0)</f>
        <v/>
      </c>
      <c r="AZ18" s="835" t="str">
        <f>IFERROR(AH18/N02S03F14/AK18,"")</f>
        <v/>
      </c>
      <c r="BA18" s="815" t="str">
        <f>IF(C18="","",INDEX(CMEREFRI_N[Unit of Measure],MATCH(C18,CMEREFRI_N[Proj Desc 1],0)))</f>
        <v/>
      </c>
      <c r="BB18" s="849" t="str">
        <f>IF(AK18&lt;&gt;"","Missing!","")</f>
        <v/>
      </c>
      <c r="BC18" s="849" t="str">
        <f>IF(AK18&lt;&gt;"","Missing!","")</f>
        <v/>
      </c>
      <c r="BD18" s="837" t="str">
        <f t="shared" ref="BD18" si="0">IF(OR(C18="",L18="",Q18="",T18="",Y18="",AB18="",AE18=""),"",ROUND(Q18,0))</f>
        <v/>
      </c>
      <c r="BE18" s="837" t="str">
        <f t="shared" ref="BE18" si="1">IF(OR(C18="",L18="",Q18="",T18="",Y18="",AB18="",AE18=""),"",ROUND(Y18,0))</f>
        <v/>
      </c>
      <c r="BF18" s="843" t="str">
        <f>IF(C18="","",IF(INDEX(CMEREFRI_N[EUL],MATCH(C18,CMEREFRI_N[Proj Desc 1],0))="","",INDEX(CMEREFRI_N[EUL],MATCH(C18,CMEREFRI_N[Proj Desc 1],0))))</f>
        <v/>
      </c>
      <c r="BG18" s="845" t="str">
        <f>IF(C18="","",IF(INDEX(CMEREFRI_N[End Use Category],MATCH(C18,CMEREFRI_N[Proj Desc 1],0))="","",INDEX(CMEREFRI_N[End Use Category],MATCH(C18,CMEREFRI_N[Proj Desc 1],0))))</f>
        <v/>
      </c>
      <c r="BH18" s="837" t="str">
        <f>IFERROR(IF(OR(C18="",L18="",Q18="",T18="",Y18="",AB18="",AE18=""),"",ROUND(AK18*INDEX(ENDUSEALL[Factor],MATCH(BG18,ENDUSEALL[End Use to Coincident Peak Demand Factors],0)),4)),"")</f>
        <v/>
      </c>
      <c r="BI18" s="874"/>
      <c r="BJ18" s="787" t="str">
        <f>IFERROR(ROUND(AK18*BK18,2),"")</f>
        <v/>
      </c>
      <c r="BK18" s="787" t="str">
        <f>_xlfn.LET(_xlpm.ROWS,MATCH(BG18,ENDUSEALL[End Use to Coincident Peak Demand Factors],0),IFERROR(INDEX(IF(AND(ACTIVEBONUS_N = TRUE,INDEX(ENDUSEALL[Bonus Rate ($/kWh)],_xlpm.ROWS)&lt;&gt;""),ENDUSEALL[Bonus Rate ($/kWh)],ENDUSEALL[Rate ($/kWh)]),_xlpm.ROWS),""))</f>
        <v/>
      </c>
      <c r="BL18" s="829"/>
      <c r="BM18" s="829"/>
      <c r="BN18" s="1069" t="str">
        <f>_xlfn.LET(_xlpm.BONUS_RATE,INDEX(ENDUSEALL[Bonus Rate ($/kWh)],MATCH(BG18,ENDUSEALL[End Use to Coincident Peak Demand Factors],0)),_xlpm.BASE_RATE,INDEX(ENDUSEALL[Rate ($/kWh)],MATCH(BG18,ENDUSEALL[End Use to Coincident Peak Demand Factors],0)),IFERROR(IF(OR(ACTIVEBONUS_N &lt;&gt; TRUE,ISNUMBER(AN18) = FALSE,BS18 &lt;&gt; ""),"",AN18-(AK18*_xlpm.BASE_RATE)),""))</f>
        <v/>
      </c>
      <c r="BO18" s="1070" t="str">
        <f>IF(OR(C18="",L18="",Q18="",T18="",Y18="",AB18="",AE18=""),"",IF(BQ18&lt;&gt;"",SPILLOVERNUMBER,INDEX(CMEREFRI_N[Measure Number],MATCH(C18,CMEREFRI_N[Proj Desc 1],0))))</f>
        <v/>
      </c>
      <c r="BP18" s="815" t="str">
        <f>IFERROR(
IF(BS18="",
IF(AND(ROUND(AN18/AH18,2)=INCCOSTCAP,BJ18/AH18&gt;INCCOSTCAP),
"100% Incremental Cost",
IF(BK18&lt;KWHRATEMIN,
"kWh Incentive Rate Min",
IF(BK18&gt;KWHRATEMAX,
"kWh Incentive Rate Cap",
IF(AN18=BN18,
"Bonus Incentive",
"kWh Incentive"
)))),""),
"")</f>
        <v/>
      </c>
      <c r="BQ18" s="815" t="str">
        <f ca="1">IFERROR(IF(EXPIRATION&lt;&gt;"",PROJSTATEXP,
IF(BS18&gt;0,"",
IF(BD18-BE18&lt;=0,MEASURESAVE,
IF(OR(N02S03F14="",N02S03F14="Select Rate Code",N02S03F14=0),MEASURERATE,
IF(AND(ISNUMBER(SEARCH("Others",C18)),OR(BF18="",BG18="")),MEASURESUBMIT,
IF(AH18&lt;=0,MEASUREINCR,
IF(PAYPROJ_N&lt;PAYBACKREQ,PROJECTSTATPAYBACK,
IF(CBPROJ_N&lt;CBREQ,PROJECTSTATCB,"")))))))),MEASURESUBMIT)</f>
        <v>Submit for Review</v>
      </c>
      <c r="BR18" s="787" t="str">
        <f>IFERROR(IF(OR(C18="",L18="",Q18="",T18="",Y18="",AB18="",AE18=""),"",
ROUND(((1+ELOSS)*((AK18*INDEX(ELECCB[NPV AEC $/kWh],MATCH(BF18,ELECCB[Year Number],1)))+(BH18*INDEX(ELECCB[NPV ACC $/kW],MATCH(BF18,ELECCB[Year Number],1))))),2)),0)</f>
        <v/>
      </c>
      <c r="BS18" s="853"/>
    </row>
    <row r="19" spans="1:71" ht="15.95" customHeight="1">
      <c r="B19" s="800"/>
      <c r="C19" s="1091"/>
      <c r="D19" s="1092"/>
      <c r="E19" s="1092"/>
      <c r="F19" s="1092"/>
      <c r="G19" s="1092"/>
      <c r="H19" s="1092"/>
      <c r="I19" s="1092"/>
      <c r="J19" s="1092"/>
      <c r="K19" s="1092"/>
      <c r="L19" s="1081"/>
      <c r="M19" s="1081"/>
      <c r="N19" s="1081"/>
      <c r="O19" s="1081"/>
      <c r="P19" s="1119"/>
      <c r="Q19" s="1117"/>
      <c r="R19" s="1078"/>
      <c r="S19" s="1078"/>
      <c r="T19" s="1081"/>
      <c r="U19" s="1081"/>
      <c r="V19" s="1081"/>
      <c r="W19" s="1081"/>
      <c r="X19" s="1119"/>
      <c r="Y19" s="1117"/>
      <c r="Z19" s="1078"/>
      <c r="AA19" s="1078"/>
      <c r="AB19" s="1093"/>
      <c r="AC19" s="1093"/>
      <c r="AD19" s="1094"/>
      <c r="AE19" s="1095"/>
      <c r="AF19" s="1096"/>
      <c r="AG19" s="1096"/>
      <c r="AH19" s="1105"/>
      <c r="AI19" s="1105"/>
      <c r="AJ19" s="1106"/>
      <c r="AK19" s="832"/>
      <c r="AL19" s="832"/>
      <c r="AM19" s="832"/>
      <c r="AN19" s="834"/>
      <c r="AO19" s="834"/>
      <c r="AP19" s="834"/>
      <c r="AQ19" s="834"/>
      <c r="AR19" s="36"/>
      <c r="AS19" s="36"/>
      <c r="AT19" s="36"/>
      <c r="AU19" s="36"/>
      <c r="AV19" s="36"/>
      <c r="AW19" s="36"/>
      <c r="AY19" s="836"/>
      <c r="AZ19" s="836"/>
      <c r="BA19" s="816"/>
      <c r="BB19" s="850"/>
      <c r="BC19" s="850"/>
      <c r="BD19" s="838"/>
      <c r="BE19" s="838"/>
      <c r="BF19" s="844"/>
      <c r="BG19" s="846"/>
      <c r="BH19" s="838"/>
      <c r="BI19" s="875"/>
      <c r="BJ19" s="788"/>
      <c r="BK19" s="788"/>
      <c r="BL19" s="830"/>
      <c r="BM19" s="830"/>
      <c r="BN19" s="1090"/>
      <c r="BO19" s="1071"/>
      <c r="BP19" s="816"/>
      <c r="BQ19" s="816"/>
      <c r="BR19" s="788"/>
      <c r="BS19" s="854"/>
    </row>
    <row r="20" spans="1:71" ht="15.95" customHeight="1">
      <c r="A20" s="76"/>
      <c r="B20" s="800">
        <v>2</v>
      </c>
      <c r="C20" s="1091"/>
      <c r="D20" s="1092"/>
      <c r="E20" s="1092"/>
      <c r="F20" s="1092"/>
      <c r="G20" s="1092"/>
      <c r="H20" s="1092"/>
      <c r="I20" s="1092"/>
      <c r="J20" s="1092"/>
      <c r="K20" s="1092"/>
      <c r="L20" s="1083"/>
      <c r="M20" s="1083"/>
      <c r="N20" s="1083"/>
      <c r="O20" s="1083"/>
      <c r="P20" s="1121"/>
      <c r="Q20" s="1120"/>
      <c r="R20" s="1086"/>
      <c r="S20" s="1086"/>
      <c r="T20" s="1083"/>
      <c r="U20" s="1083"/>
      <c r="V20" s="1083"/>
      <c r="W20" s="1083"/>
      <c r="X20" s="1121"/>
      <c r="Y20" s="1120"/>
      <c r="Z20" s="1086"/>
      <c r="AA20" s="1086"/>
      <c r="AB20" s="1093"/>
      <c r="AC20" s="1093"/>
      <c r="AD20" s="1094"/>
      <c r="AE20" s="1095"/>
      <c r="AF20" s="1096"/>
      <c r="AG20" s="1096"/>
      <c r="AH20" s="1103" t="str">
        <f t="shared" ref="AH20" si="2">IF(OR(C20="",L20="",Q20="",T20="",Y20="",AB20="",AE20=""),"",ROUND(AE20-AB20,2))</f>
        <v/>
      </c>
      <c r="AI20" s="1103"/>
      <c r="AJ20" s="1104"/>
      <c r="AK20" s="831" t="str">
        <f t="shared" ref="AK20" si="3">IF(OR(C20="",L20="",Q20="",T20="",Y20="",AB20="",AE20=""),"",IF(BD20-BE20&lt;=0,0,ROUND(BD20-BE20,0)))</f>
        <v/>
      </c>
      <c r="AL20" s="831"/>
      <c r="AM20" s="831"/>
      <c r="AN20" s="1097" t="str">
        <f>IF(OR(C20="",L20="",Q20="",T20="",Y20="",AB20="",AE20=""),"",
IF(BQ20&lt;&gt;"",BQ20,IF(BS20&gt;0,BS20,
IF(ACTIVEBLOCK_N="Yes",ROUND(MIN(AH20*INCCOSTCAP,AK20*BLOCKBIDRATE),2),
ROUND(MIN(AH20*INCCOSTCAP,BJ20),2))
)))</f>
        <v/>
      </c>
      <c r="AO20" s="1098"/>
      <c r="AP20" s="1098"/>
      <c r="AQ20" s="1099"/>
      <c r="AR20" s="36"/>
      <c r="AS20" s="36"/>
      <c r="AT20" s="36"/>
      <c r="AU20" s="36"/>
      <c r="AV20" s="36"/>
      <c r="AW20" s="36"/>
      <c r="AY20" s="835" t="str">
        <f t="shared" ref="AY20" si="4">IFERROR(IF(OR(C20="",L20="",Q20="",T20="",Y20="",AB20="",AE20=""),"",ROUND(BR20/AH20,2)),0)</f>
        <v/>
      </c>
      <c r="AZ20" s="835" t="str">
        <f>IFERROR(AH20/N02S03F14/AK20,"")</f>
        <v/>
      </c>
      <c r="BA20" s="815" t="str">
        <f>IF(C20="","",INDEX(CMEREFRI_N[Unit of Measure],MATCH(C20,CMEREFRI_N[Proj Desc 1],0)))</f>
        <v/>
      </c>
      <c r="BB20" s="849" t="str">
        <f t="shared" ref="BB20" si="5">IF(AK20&lt;&gt;"","Missing!","")</f>
        <v/>
      </c>
      <c r="BC20" s="849" t="str">
        <f t="shared" ref="BC20" si="6">IF(AK20&lt;&gt;"","Missing!","")</f>
        <v/>
      </c>
      <c r="BD20" s="837" t="str">
        <f t="shared" ref="BD20" si="7">IF(OR(C20="",L20="",Q20="",T20="",Y20="",AB20="",AE20=""),"",ROUND(Q20,0))</f>
        <v/>
      </c>
      <c r="BE20" s="837" t="str">
        <f t="shared" ref="BE20" si="8">IF(OR(C20="",L20="",Q20="",T20="",Y20="",AB20="",AE20=""),"",ROUND(Y20,0))</f>
        <v/>
      </c>
      <c r="BF20" s="843" t="str">
        <f>IF(C20="","",IF(INDEX(CMEREFRI_N[EUL],MATCH(C20,CMEREFRI_N[Proj Desc 1],0))="","",INDEX(CMEREFRI_N[EUL],MATCH(C20,CMEREFRI_N[Proj Desc 1],0))))</f>
        <v/>
      </c>
      <c r="BG20" s="845" t="str">
        <f>IF(C20="","",IF(INDEX(CMEREFRI_N[End Use Category],MATCH(C20,CMEREFRI_N[Proj Desc 1],0))="","",INDEX(CMEREFRI_N[End Use Category],MATCH(C20,CMEREFRI_N[Proj Desc 1],0))))</f>
        <v/>
      </c>
      <c r="BH20" s="837" t="str">
        <f>IFERROR(IF(OR(C20="",L20="",Q20="",T20="",Y20="",AB20="",AE20=""),"",ROUND(AK20*INDEX(ENDUSEALL[Factor],MATCH(BG20,ENDUSEALL[End Use to Coincident Peak Demand Factors],0)),4)),"")</f>
        <v/>
      </c>
      <c r="BI20" s="874"/>
      <c r="BJ20" s="787" t="str">
        <f>IFERROR(ROUND(AK20*BK20,2),"")</f>
        <v/>
      </c>
      <c r="BK20" s="1067" t="str">
        <f>_xlfn.LET(_xlpm.ROWS,MATCH(BG20,ENDUSEALL[End Use to Coincident Peak Demand Factors],0),IFERROR(INDEX(IF(AND(ACTIVEBONUS_N = TRUE,INDEX(ENDUSEALL[Bonus Rate ($/kWh)],_xlpm.ROWS)&lt;&gt;""),ENDUSEALL[Bonus Rate ($/kWh)],ENDUSEALL[Rate ($/kWh)]),_xlpm.ROWS),""))</f>
        <v/>
      </c>
      <c r="BL20" s="829"/>
      <c r="BM20" s="829"/>
      <c r="BN20" s="1068" t="str">
        <f>_xlfn.LET(_xlpm.BONUS_RATE,INDEX(ENDUSEALL[Bonus Rate ($/kWh)],MATCH(BG20,ENDUSEALL[End Use to Coincident Peak Demand Factors],0)),_xlpm.BASE_RATE,INDEX(ENDUSEALL[Rate ($/kWh)],MATCH(BG20,ENDUSEALL[End Use to Coincident Peak Demand Factors],0)),IFERROR(IF(OR(ACTIVEBONUS_N &lt;&gt; TRUE,ISNUMBER(AN20) = FALSE,BS20 &lt;&gt; ""),"",AN20-(AK20*_xlpm.BASE_RATE)),""))</f>
        <v/>
      </c>
      <c r="BO20" s="1070" t="str">
        <f>IF(OR(C20="",L20="",Q20="",T20="",Y20="",AB20="",AE20=""),"",IF(BQ20&lt;&gt;"",SPILLOVERNUMBER,INDEX(CMEREFRI_N[Measure Number],MATCH(C20,CMEREFRI_N[Proj Desc 1],0))))</f>
        <v/>
      </c>
      <c r="BP20" s="815" t="str">
        <f>IFERROR(
IF(BS20="",
IF(AND(ROUND(AN20/AH20,2)=INCCOSTCAP,BJ20/AH20&gt;INCCOSTCAP),
"100% Incremental Cost",
IF(BK20&lt;KWHRATEMIN,
"kWh Incentive Rate Min",
IF(BK20&gt;KWHRATEMAX,
"kWh Incentive Rate Cap",
IF(AN20=BN20,
"Bonus Incentive",
"kWh Incentive"
)))),""),
"")</f>
        <v/>
      </c>
      <c r="BQ20" s="815" t="str">
        <f ca="1">IFERROR(IF(EXPIRATION&lt;&gt;"",PROJSTATEXP,
IF(BS20&gt;0,"",
IF(BD20-BE20&lt;=0,MEASURESAVE,
IF(OR(N02S03F14="",N02S03F14="Select Rate Code",N02S03F14=0),MEASURERATE,
IF(AND(ISNUMBER(SEARCH("Others",C20)),OR(BF20="",BG20="")),MEASURESUBMIT,
IF(AH20&lt;=0,MEASUREINCR,
IF(PAYPROJ_N&lt;PAYBACKREQ,PROJECTSTATPAYBACK,
IF(CBPROJ_N&lt;CBREQ,PROJECTSTATCB,"")))))))),MEASURESUBMIT)</f>
        <v>Submit for Review</v>
      </c>
      <c r="BR20" s="787" t="str">
        <f>IFERROR(IF(OR(C20="",L20="",Q20="",T20="",Y20="",AB20="",AE20=""),"",
ROUND(((1+ELOSS)*((AK20*INDEX(ELECCB[NPV AEC $/kWh],MATCH(BF20,ELECCB[Year Number],1)))+(BH20*INDEX(ELECCB[NPV ACC $/kW],MATCH(BF20,ELECCB[Year Number],1))))),2)),0)</f>
        <v/>
      </c>
      <c r="BS20" s="853"/>
    </row>
    <row r="21" spans="1:71" ht="15.95" customHeight="1">
      <c r="B21" s="800"/>
      <c r="C21" s="1091"/>
      <c r="D21" s="1092"/>
      <c r="E21" s="1092"/>
      <c r="F21" s="1092"/>
      <c r="G21" s="1092"/>
      <c r="H21" s="1092"/>
      <c r="I21" s="1092"/>
      <c r="J21" s="1092"/>
      <c r="K21" s="1092"/>
      <c r="L21" s="1081"/>
      <c r="M21" s="1081"/>
      <c r="N21" s="1081"/>
      <c r="O21" s="1081"/>
      <c r="P21" s="1119"/>
      <c r="Q21" s="1117"/>
      <c r="R21" s="1078"/>
      <c r="S21" s="1078"/>
      <c r="T21" s="1081"/>
      <c r="U21" s="1081"/>
      <c r="V21" s="1081"/>
      <c r="W21" s="1081"/>
      <c r="X21" s="1119"/>
      <c r="Y21" s="1117"/>
      <c r="Z21" s="1078"/>
      <c r="AA21" s="1078"/>
      <c r="AB21" s="1093"/>
      <c r="AC21" s="1093"/>
      <c r="AD21" s="1094"/>
      <c r="AE21" s="1095"/>
      <c r="AF21" s="1096"/>
      <c r="AG21" s="1096"/>
      <c r="AH21" s="1105"/>
      <c r="AI21" s="1105"/>
      <c r="AJ21" s="1106"/>
      <c r="AK21" s="832"/>
      <c r="AL21" s="832"/>
      <c r="AM21" s="832"/>
      <c r="AN21" s="1100"/>
      <c r="AO21" s="1101"/>
      <c r="AP21" s="1101"/>
      <c r="AQ21" s="1102"/>
      <c r="AR21" s="36"/>
      <c r="AS21" s="36"/>
      <c r="AT21" s="36"/>
      <c r="AU21" s="36"/>
      <c r="AV21" s="36"/>
      <c r="AW21" s="36"/>
      <c r="AY21" s="836"/>
      <c r="AZ21" s="836"/>
      <c r="BA21" s="816"/>
      <c r="BB21" s="850"/>
      <c r="BC21" s="850"/>
      <c r="BD21" s="838"/>
      <c r="BE21" s="838"/>
      <c r="BF21" s="844"/>
      <c r="BG21" s="846"/>
      <c r="BH21" s="838"/>
      <c r="BI21" s="875"/>
      <c r="BJ21" s="788"/>
      <c r="BK21" s="787"/>
      <c r="BL21" s="830"/>
      <c r="BM21" s="830"/>
      <c r="BN21" s="1069"/>
      <c r="BO21" s="1071"/>
      <c r="BP21" s="816"/>
      <c r="BQ21" s="816"/>
      <c r="BR21" s="788"/>
      <c r="BS21" s="854"/>
    </row>
    <row r="22" spans="1:71" s="21" customFormat="1" ht="15.95" customHeight="1">
      <c r="A22" s="111"/>
      <c r="B22" s="800">
        <v>3</v>
      </c>
      <c r="C22" s="1091"/>
      <c r="D22" s="1092"/>
      <c r="E22" s="1092"/>
      <c r="F22" s="1092"/>
      <c r="G22" s="1092"/>
      <c r="H22" s="1092"/>
      <c r="I22" s="1092"/>
      <c r="J22" s="1092"/>
      <c r="K22" s="1092"/>
      <c r="L22" s="1083"/>
      <c r="M22" s="1083"/>
      <c r="N22" s="1083"/>
      <c r="O22" s="1083"/>
      <c r="P22" s="1121"/>
      <c r="Q22" s="1120"/>
      <c r="R22" s="1086"/>
      <c r="S22" s="1086"/>
      <c r="T22" s="1083"/>
      <c r="U22" s="1083"/>
      <c r="V22" s="1083"/>
      <c r="W22" s="1083"/>
      <c r="X22" s="1121"/>
      <c r="Y22" s="1120"/>
      <c r="Z22" s="1086"/>
      <c r="AA22" s="1086"/>
      <c r="AB22" s="1093"/>
      <c r="AC22" s="1093"/>
      <c r="AD22" s="1094"/>
      <c r="AE22" s="1095"/>
      <c r="AF22" s="1096"/>
      <c r="AG22" s="1096"/>
      <c r="AH22" s="1103" t="str">
        <f t="shared" ref="AH22" si="9">IF(OR(C22="",L22="",Q22="",T22="",Y22="",AB22="",AE22=""),"",ROUND(AE22-AB22,2))</f>
        <v/>
      </c>
      <c r="AI22" s="1103"/>
      <c r="AJ22" s="1104"/>
      <c r="AK22" s="831" t="str">
        <f t="shared" ref="AK22" si="10">IF(OR(C22="",L22="",Q22="",T22="",Y22="",AB22="",AE22=""),"",IF(BD22-BE22&lt;=0,0,ROUND(BD22-BE22,0)))</f>
        <v/>
      </c>
      <c r="AL22" s="831"/>
      <c r="AM22" s="831"/>
      <c r="AN22" s="1097" t="str">
        <f>IF(OR(C22="",L22="",Q22="",T22="",Y22="",AB22="",AE22=""),"",
IF(BQ22&lt;&gt;"",BQ22,IF(BS22&gt;0,BS22,
IF(ACTIVEBLOCK_N="Yes",ROUND(MIN(AH22*INCCOSTCAP,AK22*BLOCKBIDRATE),2),
ROUND(MIN(AH22*INCCOSTCAP,BJ22),2))
)))</f>
        <v/>
      </c>
      <c r="AO22" s="1098"/>
      <c r="AP22" s="1098"/>
      <c r="AQ22" s="1099"/>
      <c r="AR22" s="56"/>
      <c r="AS22" s="56"/>
      <c r="AT22" s="56"/>
      <c r="AU22" s="56"/>
      <c r="AV22" s="56"/>
      <c r="AW22" s="56"/>
      <c r="AX22"/>
      <c r="AY22" s="835" t="str">
        <f t="shared" ref="AY22" si="11">IFERROR(IF(OR(C22="",L22="",Q22="",T22="",Y22="",AB22="",AE22=""),"",ROUND(BR22/AH22,2)),0)</f>
        <v/>
      </c>
      <c r="AZ22" s="835" t="str">
        <f>IFERROR(AH22/N02S03F14/AK22,"")</f>
        <v/>
      </c>
      <c r="BA22" s="815" t="str">
        <f>IF(C22="","",INDEX(CMEREFRI_N[Unit of Measure],MATCH(C22,CMEREFRI_N[Proj Desc 1],0)))</f>
        <v/>
      </c>
      <c r="BB22" s="849" t="str">
        <f t="shared" ref="BB22" si="12">IF(AK22&lt;&gt;"","Missing!","")</f>
        <v/>
      </c>
      <c r="BC22" s="849" t="str">
        <f t="shared" ref="BC22" si="13">IF(AK22&lt;&gt;"","Missing!","")</f>
        <v/>
      </c>
      <c r="BD22" s="837" t="str">
        <f t="shared" ref="BD22" si="14">IF(OR(C22="",L22="",Q22="",T22="",Y22="",AB22="",AE22=""),"",ROUND(Q22,0))</f>
        <v/>
      </c>
      <c r="BE22" s="837" t="str">
        <f t="shared" ref="BE22" si="15">IF(OR(C22="",L22="",Q22="",T22="",Y22="",AB22="",AE22=""),"",ROUND(Y22,0))</f>
        <v/>
      </c>
      <c r="BF22" s="843" t="str">
        <f>IF(C22="","",IF(INDEX(CMEREFRI_N[EUL],MATCH(C22,CMEREFRI_N[Proj Desc 1],0))="","",INDEX(CMEREFRI_N[EUL],MATCH(C22,CMEREFRI_N[Proj Desc 1],0))))</f>
        <v/>
      </c>
      <c r="BG22" s="845" t="str">
        <f>IF(C22="","",IF(INDEX(CMEREFRI_N[End Use Category],MATCH(C22,CMEREFRI_N[Proj Desc 1],0))="","",INDEX(CMEREFRI_N[End Use Category],MATCH(C22,CMEREFRI_N[Proj Desc 1],0))))</f>
        <v/>
      </c>
      <c r="BH22" s="837" t="str">
        <f>IFERROR(IF(OR(C22="",L22="",Q22="",T22="",Y22="",AB22="",AE22=""),"",ROUND(AK22*INDEX(ENDUSEALL[Factor],MATCH(BG22,ENDUSEALL[End Use to Coincident Peak Demand Factors],0)),4)),"")</f>
        <v/>
      </c>
      <c r="BI22" s="874"/>
      <c r="BJ22" s="787" t="str">
        <f>IFERROR(ROUND(AK22*BK22,2),"")</f>
        <v/>
      </c>
      <c r="BK22" s="1067" t="str">
        <f>_xlfn.LET(_xlpm.ROWS,MATCH(BG22,ENDUSEALL[End Use to Coincident Peak Demand Factors],0),IFERROR(INDEX(IF(AND(ACTIVEBONUS_N = TRUE,INDEX(ENDUSEALL[Bonus Rate ($/kWh)],_xlpm.ROWS)&lt;&gt;""),ENDUSEALL[Bonus Rate ($/kWh)],ENDUSEALL[Rate ($/kWh)]),_xlpm.ROWS),""))</f>
        <v/>
      </c>
      <c r="BL22" s="829"/>
      <c r="BM22" s="829"/>
      <c r="BN22" s="1068" t="str">
        <f>_xlfn.LET(_xlpm.BONUS_RATE,INDEX(ENDUSEALL[Bonus Rate ($/kWh)],MATCH(BG22,ENDUSEALL[End Use to Coincident Peak Demand Factors],0)),_xlpm.BASE_RATE,INDEX(ENDUSEALL[Rate ($/kWh)],MATCH(BG22,ENDUSEALL[End Use to Coincident Peak Demand Factors],0)),IFERROR(IF(OR(ACTIVEBONUS_N &lt;&gt; TRUE,ISNUMBER(AN22) = FALSE,BS22 &lt;&gt; ""),"",AN22-(AK22*_xlpm.BASE_RATE)),""))</f>
        <v/>
      </c>
      <c r="BO22" s="1070" t="str">
        <f>IF(OR(C22="",L22="",Q22="",T22="",Y22="",AB22="",AE22=""),"",IF(BQ22&lt;&gt;"",SPILLOVERNUMBER,INDEX(CMEREFRI_N[Measure Number],MATCH(C22,CMEREFRI_N[Proj Desc 1],0))))</f>
        <v/>
      </c>
      <c r="BP22" s="815" t="str">
        <f>IFERROR(
IF(BS22="",
IF(AND(ROUND(AN22/AH22,2)=INCCOSTCAP,BJ22/AH22&gt;INCCOSTCAP),
"100% Incremental Cost",
IF(BK22&lt;KWHRATEMIN,
"kWh Incentive Rate Min",
IF(BK22&gt;KWHRATEMAX,
"kWh Incentive Rate Cap",
IF(AN22=BN22,
"Bonus Incentive",
"kWh Incentive"
)))),""),
"")</f>
        <v/>
      </c>
      <c r="BQ22" s="815" t="str">
        <f ca="1">IFERROR(IF(EXPIRATION&lt;&gt;"",PROJSTATEXP,
IF(BS22&gt;0,"",
IF(BD22-BE22&lt;=0,MEASURESAVE,
IF(OR(N02S03F14="",N02S03F14="Select Rate Code",N02S03F14=0),MEASURERATE,
IF(AND(ISNUMBER(SEARCH("Others",C22)),OR(BF22="",BG22="")),MEASURESUBMIT,
IF(AH22&lt;=0,MEASUREINCR,
IF(PAYPROJ_N&lt;PAYBACKREQ,PROJECTSTATPAYBACK,
IF(CBPROJ_N&lt;CBREQ,PROJECTSTATCB,"")))))))),MEASURESUBMIT)</f>
        <v>Submit for Review</v>
      </c>
      <c r="BR22" s="787" t="str">
        <f>IFERROR(IF(OR(C22="",L22="",Q22="",T22="",Y22="",AB22="",AE22=""),"",
ROUND(((1+ELOSS)*((AK22*INDEX(ELECCB[NPV AEC $/kWh],MATCH(BF22,ELECCB[Year Number],1)))+(BH22*INDEX(ELECCB[NPV ACC $/kW],MATCH(BF22,ELECCB[Year Number],1))))),2)),0)</f>
        <v/>
      </c>
      <c r="BS22" s="853"/>
    </row>
    <row r="23" spans="1:71" s="21" customFormat="1" ht="15.95" customHeight="1">
      <c r="A23" s="111"/>
      <c r="B23" s="800"/>
      <c r="C23" s="1091"/>
      <c r="D23" s="1092"/>
      <c r="E23" s="1092"/>
      <c r="F23" s="1092"/>
      <c r="G23" s="1092"/>
      <c r="H23" s="1092"/>
      <c r="I23" s="1092"/>
      <c r="J23" s="1092"/>
      <c r="K23" s="1092"/>
      <c r="L23" s="1081"/>
      <c r="M23" s="1081"/>
      <c r="N23" s="1081"/>
      <c r="O23" s="1081"/>
      <c r="P23" s="1119"/>
      <c r="Q23" s="1117"/>
      <c r="R23" s="1078"/>
      <c r="S23" s="1078"/>
      <c r="T23" s="1081"/>
      <c r="U23" s="1081"/>
      <c r="V23" s="1081"/>
      <c r="W23" s="1081"/>
      <c r="X23" s="1119"/>
      <c r="Y23" s="1117"/>
      <c r="Z23" s="1078"/>
      <c r="AA23" s="1078"/>
      <c r="AB23" s="1093"/>
      <c r="AC23" s="1093"/>
      <c r="AD23" s="1094"/>
      <c r="AE23" s="1095"/>
      <c r="AF23" s="1096"/>
      <c r="AG23" s="1096"/>
      <c r="AH23" s="1105"/>
      <c r="AI23" s="1105"/>
      <c r="AJ23" s="1106"/>
      <c r="AK23" s="832"/>
      <c r="AL23" s="832"/>
      <c r="AM23" s="832"/>
      <c r="AN23" s="1100"/>
      <c r="AO23" s="1101"/>
      <c r="AP23" s="1101"/>
      <c r="AQ23" s="1102"/>
      <c r="AR23" s="56"/>
      <c r="AS23" s="56"/>
      <c r="AT23" s="56"/>
      <c r="AU23" s="56"/>
      <c r="AV23" s="56"/>
      <c r="AW23" s="56"/>
      <c r="AX23"/>
      <c r="AY23" s="836"/>
      <c r="AZ23" s="836"/>
      <c r="BA23" s="816"/>
      <c r="BB23" s="850"/>
      <c r="BC23" s="850"/>
      <c r="BD23" s="838"/>
      <c r="BE23" s="838"/>
      <c r="BF23" s="844"/>
      <c r="BG23" s="846"/>
      <c r="BH23" s="838"/>
      <c r="BI23" s="875"/>
      <c r="BJ23" s="788"/>
      <c r="BK23" s="787"/>
      <c r="BL23" s="830"/>
      <c r="BM23" s="830"/>
      <c r="BN23" s="1069"/>
      <c r="BO23" s="1071"/>
      <c r="BP23" s="816"/>
      <c r="BQ23" s="816"/>
      <c r="BR23" s="788"/>
      <c r="BS23" s="854"/>
    </row>
    <row r="24" spans="1:71" ht="15.95" customHeight="1">
      <c r="B24" s="800">
        <v>4</v>
      </c>
      <c r="C24" s="1091"/>
      <c r="D24" s="1092"/>
      <c r="E24" s="1092"/>
      <c r="F24" s="1092"/>
      <c r="G24" s="1092"/>
      <c r="H24" s="1092"/>
      <c r="I24" s="1092"/>
      <c r="J24" s="1092"/>
      <c r="K24" s="1092"/>
      <c r="L24" s="1083"/>
      <c r="M24" s="1083"/>
      <c r="N24" s="1083"/>
      <c r="O24" s="1083"/>
      <c r="P24" s="1121"/>
      <c r="Q24" s="1120"/>
      <c r="R24" s="1086"/>
      <c r="S24" s="1086"/>
      <c r="T24" s="1083"/>
      <c r="U24" s="1083"/>
      <c r="V24" s="1083"/>
      <c r="W24" s="1083"/>
      <c r="X24" s="1121"/>
      <c r="Y24" s="1120"/>
      <c r="Z24" s="1086"/>
      <c r="AA24" s="1086"/>
      <c r="AB24" s="1093"/>
      <c r="AC24" s="1093"/>
      <c r="AD24" s="1094"/>
      <c r="AE24" s="1095"/>
      <c r="AF24" s="1096"/>
      <c r="AG24" s="1096"/>
      <c r="AH24" s="1103" t="str">
        <f t="shared" ref="AH24" si="16">IF(OR(C24="",L24="",Q24="",T24="",Y24="",AB24="",AE24=""),"",ROUND(AE24-AB24,2))</f>
        <v/>
      </c>
      <c r="AI24" s="1103"/>
      <c r="AJ24" s="1104"/>
      <c r="AK24" s="831" t="str">
        <f t="shared" ref="AK24" si="17">IF(OR(C24="",L24="",Q24="",T24="",Y24="",AB24="",AE24=""),"",IF(BD24-BE24&lt;=0,0,ROUND(BD24-BE24,0)))</f>
        <v/>
      </c>
      <c r="AL24" s="831"/>
      <c r="AM24" s="831"/>
      <c r="AN24" s="1097" t="str">
        <f>IF(OR(C24="",L24="",Q24="",T24="",Y24="",AB24="",AE24=""),"",
IF(BQ24&lt;&gt;"",BQ24,IF(BS24&gt;0,BS24,
IF(ACTIVEBLOCK_N="Yes",ROUND(MIN(AH24*INCCOSTCAP,AK24*BLOCKBIDRATE),2),
ROUND(MIN(AH24*INCCOSTCAP,BJ24),2))
)))</f>
        <v/>
      </c>
      <c r="AO24" s="1098"/>
      <c r="AP24" s="1098"/>
      <c r="AQ24" s="1099"/>
      <c r="AR24" s="36"/>
      <c r="AS24" s="36"/>
      <c r="AT24" s="36"/>
      <c r="AU24" s="36"/>
      <c r="AV24" s="36"/>
      <c r="AW24" s="36"/>
      <c r="AY24" s="835" t="str">
        <f t="shared" ref="AY24" si="18">IFERROR(IF(OR(C24="",L24="",Q24="",T24="",Y24="",AB24="",AE24=""),"",ROUND(BR24/AH24,2)),0)</f>
        <v/>
      </c>
      <c r="AZ24" s="835" t="str">
        <f>IFERROR(AH24/N02S03F14/AK24,"")</f>
        <v/>
      </c>
      <c r="BA24" s="815" t="str">
        <f>IF(C24="","",INDEX(CMEREFRI_N[Unit of Measure],MATCH(C24,CMEREFRI_N[Proj Desc 1],0)))</f>
        <v/>
      </c>
      <c r="BB24" s="849" t="str">
        <f t="shared" ref="BB24" si="19">IF(AK24&lt;&gt;"","Missing!","")</f>
        <v/>
      </c>
      <c r="BC24" s="849" t="str">
        <f t="shared" ref="BC24" si="20">IF(AK24&lt;&gt;"","Missing!","")</f>
        <v/>
      </c>
      <c r="BD24" s="837" t="str">
        <f t="shared" ref="BD24" si="21">IF(OR(C24="",L24="",Q24="",T24="",Y24="",AB24="",AE24=""),"",ROUND(Q24,0))</f>
        <v/>
      </c>
      <c r="BE24" s="837" t="str">
        <f t="shared" ref="BE24" si="22">IF(OR(C24="",L24="",Q24="",T24="",Y24="",AB24="",AE24=""),"",ROUND(Y24,0))</f>
        <v/>
      </c>
      <c r="BF24" s="843" t="str">
        <f>IF(C24="","",IF(INDEX(CMEREFRI_N[EUL],MATCH(C24,CMEREFRI_N[Proj Desc 1],0))="","",INDEX(CMEREFRI_N[EUL],MATCH(C24,CMEREFRI_N[Proj Desc 1],0))))</f>
        <v/>
      </c>
      <c r="BG24" s="845" t="str">
        <f>IF(C24="","",IF(INDEX(CMEREFRI_N[End Use Category],MATCH(C24,CMEREFRI_N[Proj Desc 1],0))="","",INDEX(CMEREFRI_N[End Use Category],MATCH(C24,CMEREFRI_N[Proj Desc 1],0))))</f>
        <v/>
      </c>
      <c r="BH24" s="837" t="str">
        <f>IFERROR(IF(OR(C24="",L24="",Q24="",T24="",Y24="",AB24="",AE24=""),"",ROUND(AK24*INDEX(ENDUSEALL[Factor],MATCH(BG24,ENDUSEALL[End Use to Coincident Peak Demand Factors],0)),4)),"")</f>
        <v/>
      </c>
      <c r="BI24" s="874"/>
      <c r="BJ24" s="787" t="str">
        <f>IFERROR(ROUND(AK24*BK24,2),"")</f>
        <v/>
      </c>
      <c r="BK24" s="1067" t="str">
        <f>_xlfn.LET(_xlpm.ROWS,MATCH(BG24,ENDUSEALL[End Use to Coincident Peak Demand Factors],0),IFERROR(INDEX(IF(AND(ACTIVEBONUS_N = TRUE,INDEX(ENDUSEALL[Bonus Rate ($/kWh)],_xlpm.ROWS)&lt;&gt;""),ENDUSEALL[Bonus Rate ($/kWh)],ENDUSEALL[Rate ($/kWh)]),_xlpm.ROWS),""))</f>
        <v/>
      </c>
      <c r="BL24" s="829"/>
      <c r="BM24" s="829"/>
      <c r="BN24" s="1068" t="str">
        <f>_xlfn.LET(_xlpm.BONUS_RATE,INDEX(ENDUSEALL[Bonus Rate ($/kWh)],MATCH(BG24,ENDUSEALL[End Use to Coincident Peak Demand Factors],0)),_xlpm.BASE_RATE,INDEX(ENDUSEALL[Rate ($/kWh)],MATCH(BG24,ENDUSEALL[End Use to Coincident Peak Demand Factors],0)),IFERROR(IF(OR(ACTIVEBONUS_N &lt;&gt; TRUE,ISNUMBER(AN24) = FALSE,BS24 &lt;&gt; ""),"",AN24-(AK24*_xlpm.BASE_RATE)),""))</f>
        <v/>
      </c>
      <c r="BO24" s="1070" t="str">
        <f>IF(OR(C24="",L24="",Q24="",T24="",Y24="",AB24="",AE24=""),"",IF(BQ24&lt;&gt;"",SPILLOVERNUMBER,INDEX(CMEREFRI_N[Measure Number],MATCH(C24,CMEREFRI_N[Proj Desc 1],0))))</f>
        <v/>
      </c>
      <c r="BP24" s="815" t="str">
        <f>IFERROR(
IF(BS24="",
IF(AND(ROUND(AN24/AH24,2)=INCCOSTCAP,BJ24/AH24&gt;INCCOSTCAP),
"100% Incremental Cost",
IF(BK24&lt;KWHRATEMIN,
"kWh Incentive Rate Min",
IF(BK24&gt;KWHRATEMAX,
"kWh Incentive Rate Cap",
IF(AN24=BN24,
"Bonus Incentive",
"kWh Incentive"
)))),""),
"")</f>
        <v/>
      </c>
      <c r="BQ24" s="815" t="str">
        <f ca="1">IFERROR(IF(EXPIRATION&lt;&gt;"",PROJSTATEXP,
IF(BS24&gt;0,"",
IF(BD24-BE24&lt;=0,MEASURESAVE,
IF(OR(N02S03F14="",N02S03F14="Select Rate Code",N02S03F14=0),MEASURERATE,
IF(AND(ISNUMBER(SEARCH("Others",C24)),OR(BF24="",BG24="")),MEASURESUBMIT,
IF(AH24&lt;=0,MEASUREINCR,
IF(PAYPROJ_N&lt;PAYBACKREQ,PROJECTSTATPAYBACK,
IF(CBPROJ_N&lt;CBREQ,PROJECTSTATCB,"")))))))),MEASURESUBMIT)</f>
        <v>Submit for Review</v>
      </c>
      <c r="BR24" s="787" t="str">
        <f>IFERROR(IF(OR(C24="",L24="",Q24="",T24="",Y24="",AB24="",AE24=""),"",
ROUND(((1+ELOSS)*((AK24*INDEX(ELECCB[NPV AEC $/kWh],MATCH(BF24,ELECCB[Year Number],1)))+(BH24*INDEX(ELECCB[NPV ACC $/kW],MATCH(BF24,ELECCB[Year Number],1))))),2)),0)</f>
        <v/>
      </c>
      <c r="BS24" s="853"/>
    </row>
    <row r="25" spans="1:71" ht="15.95" customHeight="1">
      <c r="A25" s="76"/>
      <c r="B25" s="800"/>
      <c r="C25" s="1091"/>
      <c r="D25" s="1092"/>
      <c r="E25" s="1092"/>
      <c r="F25" s="1092"/>
      <c r="G25" s="1092"/>
      <c r="H25" s="1092"/>
      <c r="I25" s="1092"/>
      <c r="J25" s="1092"/>
      <c r="K25" s="1092"/>
      <c r="L25" s="1081"/>
      <c r="M25" s="1081"/>
      <c r="N25" s="1081"/>
      <c r="O25" s="1081"/>
      <c r="P25" s="1119"/>
      <c r="Q25" s="1117"/>
      <c r="R25" s="1078"/>
      <c r="S25" s="1078"/>
      <c r="T25" s="1081"/>
      <c r="U25" s="1081"/>
      <c r="V25" s="1081"/>
      <c r="W25" s="1081"/>
      <c r="X25" s="1119"/>
      <c r="Y25" s="1117"/>
      <c r="Z25" s="1078"/>
      <c r="AA25" s="1078"/>
      <c r="AB25" s="1093"/>
      <c r="AC25" s="1093"/>
      <c r="AD25" s="1094"/>
      <c r="AE25" s="1095"/>
      <c r="AF25" s="1096"/>
      <c r="AG25" s="1096"/>
      <c r="AH25" s="1105"/>
      <c r="AI25" s="1105"/>
      <c r="AJ25" s="1106"/>
      <c r="AK25" s="832"/>
      <c r="AL25" s="832"/>
      <c r="AM25" s="832"/>
      <c r="AN25" s="1100"/>
      <c r="AO25" s="1101"/>
      <c r="AP25" s="1101"/>
      <c r="AQ25" s="1102"/>
      <c r="AR25" s="36"/>
      <c r="AS25" s="36"/>
      <c r="AT25" s="36"/>
      <c r="AU25" s="36"/>
      <c r="AV25" s="36"/>
      <c r="AW25" s="36"/>
      <c r="AY25" s="836"/>
      <c r="AZ25" s="836"/>
      <c r="BA25" s="816"/>
      <c r="BB25" s="850"/>
      <c r="BC25" s="850"/>
      <c r="BD25" s="838"/>
      <c r="BE25" s="838"/>
      <c r="BF25" s="844"/>
      <c r="BG25" s="846"/>
      <c r="BH25" s="838"/>
      <c r="BI25" s="875"/>
      <c r="BJ25" s="788"/>
      <c r="BK25" s="787"/>
      <c r="BL25" s="830"/>
      <c r="BM25" s="830"/>
      <c r="BN25" s="1069"/>
      <c r="BO25" s="1071"/>
      <c r="BP25" s="816"/>
      <c r="BQ25" s="816"/>
      <c r="BR25" s="788"/>
      <c r="BS25" s="854"/>
    </row>
    <row r="26" spans="1:71" ht="15.95" customHeight="1">
      <c r="B26" s="800">
        <v>5</v>
      </c>
      <c r="C26" s="1091"/>
      <c r="D26" s="1092"/>
      <c r="E26" s="1092"/>
      <c r="F26" s="1092"/>
      <c r="G26" s="1092"/>
      <c r="H26" s="1092"/>
      <c r="I26" s="1092"/>
      <c r="J26" s="1092"/>
      <c r="K26" s="1092"/>
      <c r="L26" s="1083"/>
      <c r="M26" s="1083"/>
      <c r="N26" s="1083"/>
      <c r="O26" s="1083"/>
      <c r="P26" s="1121"/>
      <c r="Q26" s="1120"/>
      <c r="R26" s="1086"/>
      <c r="S26" s="1086"/>
      <c r="T26" s="1083"/>
      <c r="U26" s="1083"/>
      <c r="V26" s="1083"/>
      <c r="W26" s="1083"/>
      <c r="X26" s="1121"/>
      <c r="Y26" s="1120"/>
      <c r="Z26" s="1086"/>
      <c r="AA26" s="1086"/>
      <c r="AB26" s="1093"/>
      <c r="AC26" s="1093"/>
      <c r="AD26" s="1094"/>
      <c r="AE26" s="1095"/>
      <c r="AF26" s="1096"/>
      <c r="AG26" s="1096"/>
      <c r="AH26" s="1103" t="str">
        <f t="shared" ref="AH26" si="23">IF(OR(C26="",L26="",Q26="",T26="",Y26="",AB26="",AE26=""),"",ROUND(AE26-AB26,2))</f>
        <v/>
      </c>
      <c r="AI26" s="1103"/>
      <c r="AJ26" s="1104"/>
      <c r="AK26" s="831" t="str">
        <f t="shared" ref="AK26" si="24">IF(OR(C26="",L26="",Q26="",T26="",Y26="",AB26="",AE26=""),"",IF(BD26-BE26&lt;=0,0,ROUND(BD26-BE26,0)))</f>
        <v/>
      </c>
      <c r="AL26" s="831"/>
      <c r="AM26" s="831"/>
      <c r="AN26" s="1097" t="str">
        <f>IF(OR(C26="",L26="",Q26="",T26="",Y26="",AB26="",AE26=""),"",
IF(BQ26&lt;&gt;"",BQ26,IF(BS26&gt;0,BS26,
IF(ACTIVEBLOCK_N="Yes",ROUND(MIN(AH26*INCCOSTCAP,AK26*BLOCKBIDRATE),2),
ROUND(MIN(AH26*INCCOSTCAP,BJ26),2))
)))</f>
        <v/>
      </c>
      <c r="AO26" s="1098"/>
      <c r="AP26" s="1098"/>
      <c r="AQ26" s="1099"/>
      <c r="AR26" s="36"/>
      <c r="AS26" s="36"/>
      <c r="AT26" s="36"/>
      <c r="AU26" s="36"/>
      <c r="AV26" s="36"/>
      <c r="AW26" s="36"/>
      <c r="AY26" s="835" t="str">
        <f t="shared" ref="AY26" si="25">IFERROR(IF(OR(C26="",L26="",Q26="",T26="",Y26="",AB26="",AE26=""),"",ROUND(BR26/AH26,2)),0)</f>
        <v/>
      </c>
      <c r="AZ26" s="835" t="str">
        <f>IFERROR(AH26/N02S03F14/AK26,"")</f>
        <v/>
      </c>
      <c r="BA26" s="815" t="str">
        <f>IF(C26="","",INDEX(CMEREFRI_N[Unit of Measure],MATCH(C26,CMEREFRI_N[Proj Desc 1],0)))</f>
        <v/>
      </c>
      <c r="BB26" s="849" t="str">
        <f t="shared" ref="BB26" si="26">IF(AK26&lt;&gt;"","Missing!","")</f>
        <v/>
      </c>
      <c r="BC26" s="849" t="str">
        <f t="shared" ref="BC26" si="27">IF(AK26&lt;&gt;"","Missing!","")</f>
        <v/>
      </c>
      <c r="BD26" s="837" t="str">
        <f t="shared" ref="BD26" si="28">IF(OR(C26="",L26="",Q26="",T26="",Y26="",AB26="",AE26=""),"",ROUND(Q26,0))</f>
        <v/>
      </c>
      <c r="BE26" s="837" t="str">
        <f t="shared" ref="BE26" si="29">IF(OR(C26="",L26="",Q26="",T26="",Y26="",AB26="",AE26=""),"",ROUND(Y26,0))</f>
        <v/>
      </c>
      <c r="BF26" s="843" t="str">
        <f>IF(C26="","",IF(INDEX(CMEREFRI_N[EUL],MATCH(C26,CMEREFRI_N[Proj Desc 1],0))="","",INDEX(CMEREFRI_N[EUL],MATCH(C26,CMEREFRI_N[Proj Desc 1],0))))</f>
        <v/>
      </c>
      <c r="BG26" s="845" t="str">
        <f>IF(C26="","",IF(INDEX(CMEREFRI_N[End Use Category],MATCH(C26,CMEREFRI_N[Proj Desc 1],0))="","",INDEX(CMEREFRI_N[End Use Category],MATCH(C26,CMEREFRI_N[Proj Desc 1],0))))</f>
        <v/>
      </c>
      <c r="BH26" s="837" t="str">
        <f>IFERROR(IF(OR(C26="",L26="",Q26="",T26="",Y26="",AB26="",AE26=""),"",ROUND(AK26*INDEX(ENDUSEALL[Factor],MATCH(BG26,ENDUSEALL[End Use to Coincident Peak Demand Factors],0)),4)),"")</f>
        <v/>
      </c>
      <c r="BI26" s="874"/>
      <c r="BJ26" s="787" t="str">
        <f>IFERROR(ROUND(AK26*BK26,2),"")</f>
        <v/>
      </c>
      <c r="BK26" s="1067" t="str">
        <f>_xlfn.LET(_xlpm.ROWS,MATCH(BG26,ENDUSEALL[End Use to Coincident Peak Demand Factors],0),IFERROR(INDEX(IF(AND(ACTIVEBONUS_N = TRUE,INDEX(ENDUSEALL[Bonus Rate ($/kWh)],_xlpm.ROWS)&lt;&gt;""),ENDUSEALL[Bonus Rate ($/kWh)],ENDUSEALL[Rate ($/kWh)]),_xlpm.ROWS),""))</f>
        <v/>
      </c>
      <c r="BL26" s="829"/>
      <c r="BM26" s="829"/>
      <c r="BN26" s="1068" t="str">
        <f>_xlfn.LET(_xlpm.BONUS_RATE,INDEX(ENDUSEALL[Bonus Rate ($/kWh)],MATCH(BG26,ENDUSEALL[End Use to Coincident Peak Demand Factors],0)),_xlpm.BASE_RATE,INDEX(ENDUSEALL[Rate ($/kWh)],MATCH(BG26,ENDUSEALL[End Use to Coincident Peak Demand Factors],0)),IFERROR(IF(OR(ACTIVEBONUS_N &lt;&gt; TRUE,ISNUMBER(AN26) = FALSE,BS26 &lt;&gt; ""),"",AN26-(AK26*_xlpm.BASE_RATE)),""))</f>
        <v/>
      </c>
      <c r="BO26" s="1070" t="str">
        <f>IF(OR(C26="",L26="",Q26="",T26="",Y26="",AB26="",AE26=""),"",IF(BQ26&lt;&gt;"",SPILLOVERNUMBER,INDEX(CMEREFRI_N[Measure Number],MATCH(C26,CMEREFRI_N[Proj Desc 1],0))))</f>
        <v/>
      </c>
      <c r="BP26" s="815" t="str">
        <f>IFERROR(
IF(BS26="",
IF(AND(ROUND(AN26/AH26,2)=INCCOSTCAP,BJ26/AH26&gt;INCCOSTCAP),
"100% Incremental Cost",
IF(BK26&lt;KWHRATEMIN,
"kWh Incentive Rate Min",
IF(BK26&gt;KWHRATEMAX,
"kWh Incentive Rate Cap",
IF(AN26=BN26,
"Bonus Incentive",
"kWh Incentive"
)))),""),
"")</f>
        <v/>
      </c>
      <c r="BQ26" s="815" t="str">
        <f ca="1">IFERROR(IF(EXPIRATION&lt;&gt;"",PROJSTATEXP,
IF(BS26&gt;0,"",
IF(BD26-BE26&lt;=0,MEASURESAVE,
IF(OR(N02S03F14="",N02S03F14="Select Rate Code",N02S03F14=0),MEASURERATE,
IF(AND(ISNUMBER(SEARCH("Others",C26)),OR(BF26="",BG26="")),MEASURESUBMIT,
IF(AH26&lt;=0,MEASUREINCR,
IF(PAYPROJ_N&lt;PAYBACKREQ,PROJECTSTATPAYBACK,
IF(CBPROJ_N&lt;CBREQ,PROJECTSTATCB,"")))))))),MEASURESUBMIT)</f>
        <v>Submit for Review</v>
      </c>
      <c r="BR26" s="787" t="str">
        <f>IFERROR(IF(OR(C26="",L26="",Q26="",T26="",Y26="",AB26="",AE26=""),"",
ROUND(((1+ELOSS)*((AK26*INDEX(ELECCB[NPV AEC $/kWh],MATCH(BF26,ELECCB[Year Number],1)))+(BH26*INDEX(ELECCB[NPV ACC $/kW],MATCH(BF26,ELECCB[Year Number],1))))),2)),0)</f>
        <v/>
      </c>
      <c r="BS26" s="853"/>
    </row>
    <row r="27" spans="1:71" ht="15.95" customHeight="1">
      <c r="B27" s="800"/>
      <c r="C27" s="1091"/>
      <c r="D27" s="1092"/>
      <c r="E27" s="1092"/>
      <c r="F27" s="1092"/>
      <c r="G27" s="1092"/>
      <c r="H27" s="1092"/>
      <c r="I27" s="1092"/>
      <c r="J27" s="1092"/>
      <c r="K27" s="1092"/>
      <c r="L27" s="1081"/>
      <c r="M27" s="1081"/>
      <c r="N27" s="1081"/>
      <c r="O27" s="1081"/>
      <c r="P27" s="1119"/>
      <c r="Q27" s="1117"/>
      <c r="R27" s="1078"/>
      <c r="S27" s="1078"/>
      <c r="T27" s="1081"/>
      <c r="U27" s="1081"/>
      <c r="V27" s="1081"/>
      <c r="W27" s="1081"/>
      <c r="X27" s="1119"/>
      <c r="Y27" s="1117"/>
      <c r="Z27" s="1078"/>
      <c r="AA27" s="1078"/>
      <c r="AB27" s="1093"/>
      <c r="AC27" s="1093"/>
      <c r="AD27" s="1094"/>
      <c r="AE27" s="1095"/>
      <c r="AF27" s="1096"/>
      <c r="AG27" s="1096"/>
      <c r="AH27" s="1105"/>
      <c r="AI27" s="1105"/>
      <c r="AJ27" s="1106"/>
      <c r="AK27" s="832"/>
      <c r="AL27" s="832"/>
      <c r="AM27" s="832"/>
      <c r="AN27" s="1100"/>
      <c r="AO27" s="1101"/>
      <c r="AP27" s="1101"/>
      <c r="AQ27" s="1102"/>
      <c r="AR27" s="36"/>
      <c r="AS27" s="36"/>
      <c r="AT27" s="36"/>
      <c r="AU27" s="36"/>
      <c r="AV27" s="36"/>
      <c r="AW27" s="36"/>
      <c r="AY27" s="836"/>
      <c r="AZ27" s="836"/>
      <c r="BA27" s="816"/>
      <c r="BB27" s="850"/>
      <c r="BC27" s="850"/>
      <c r="BD27" s="838"/>
      <c r="BE27" s="838"/>
      <c r="BF27" s="844"/>
      <c r="BG27" s="846"/>
      <c r="BH27" s="838"/>
      <c r="BI27" s="875"/>
      <c r="BJ27" s="788"/>
      <c r="BK27" s="787"/>
      <c r="BL27" s="830"/>
      <c r="BM27" s="830"/>
      <c r="BN27" s="1069"/>
      <c r="BO27" s="1071"/>
      <c r="BP27" s="816"/>
      <c r="BQ27" s="816"/>
      <c r="BR27" s="788"/>
      <c r="BS27" s="854"/>
    </row>
    <row r="28" spans="1:71" ht="15.95" customHeight="1">
      <c r="B28" s="800">
        <v>6</v>
      </c>
      <c r="C28" s="1091"/>
      <c r="D28" s="1092"/>
      <c r="E28" s="1092"/>
      <c r="F28" s="1092"/>
      <c r="G28" s="1092"/>
      <c r="H28" s="1092"/>
      <c r="I28" s="1092"/>
      <c r="J28" s="1092"/>
      <c r="K28" s="1092"/>
      <c r="L28" s="1083"/>
      <c r="M28" s="1083"/>
      <c r="N28" s="1083"/>
      <c r="O28" s="1083"/>
      <c r="P28" s="1121"/>
      <c r="Q28" s="1120"/>
      <c r="R28" s="1086"/>
      <c r="S28" s="1086"/>
      <c r="T28" s="1083"/>
      <c r="U28" s="1083"/>
      <c r="V28" s="1083"/>
      <c r="W28" s="1083"/>
      <c r="X28" s="1121"/>
      <c r="Y28" s="1120"/>
      <c r="Z28" s="1086"/>
      <c r="AA28" s="1086"/>
      <c r="AB28" s="1093"/>
      <c r="AC28" s="1093"/>
      <c r="AD28" s="1094"/>
      <c r="AE28" s="1095"/>
      <c r="AF28" s="1096"/>
      <c r="AG28" s="1096"/>
      <c r="AH28" s="1103" t="str">
        <f t="shared" ref="AH28" si="30">IF(OR(C28="",L28="",Q28="",T28="",Y28="",AB28="",AE28=""),"",ROUND(AE28-AB28,2))</f>
        <v/>
      </c>
      <c r="AI28" s="1103"/>
      <c r="AJ28" s="1104"/>
      <c r="AK28" s="831" t="str">
        <f t="shared" ref="AK28" si="31">IF(OR(C28="",L28="",Q28="",T28="",Y28="",AB28="",AE28=""),"",IF(BD28-BE28&lt;=0,0,ROUND(BD28-BE28,0)))</f>
        <v/>
      </c>
      <c r="AL28" s="831"/>
      <c r="AM28" s="831"/>
      <c r="AN28" s="1097" t="str">
        <f>IF(OR(C28="",L28="",Q28="",T28="",Y28="",AB28="",AE28=""),"",
IF(BQ28&lt;&gt;"",BQ28,IF(BS28&gt;0,BS28,
IF(ACTIVEBLOCK_N="Yes",ROUND(MIN(AH28*INCCOSTCAP,AK28*BLOCKBIDRATE),2),
ROUND(MIN(AH28*INCCOSTCAP,BJ28),2))
)))</f>
        <v/>
      </c>
      <c r="AO28" s="1098"/>
      <c r="AP28" s="1098"/>
      <c r="AQ28" s="1099"/>
      <c r="AR28" s="36"/>
      <c r="AS28" s="36"/>
      <c r="AT28" s="36"/>
      <c r="AU28" s="36"/>
      <c r="AV28" s="36"/>
      <c r="AW28" s="36"/>
      <c r="AY28" s="835" t="str">
        <f t="shared" ref="AY28" si="32">IFERROR(IF(OR(C28="",L28="",Q28="",T28="",Y28="",AB28="",AE28=""),"",ROUND(BR28/AH28,2)),0)</f>
        <v/>
      </c>
      <c r="AZ28" s="835" t="str">
        <f>IFERROR(AH28/N02S03F14/AK28,"")</f>
        <v/>
      </c>
      <c r="BA28" s="815" t="str">
        <f>IF(C28="","",INDEX(CMEREFRI_N[Unit of Measure],MATCH(C28,CMEREFRI_N[Proj Desc 1],0)))</f>
        <v/>
      </c>
      <c r="BB28" s="849" t="str">
        <f t="shared" ref="BB28" si="33">IF(AK28&lt;&gt;"","Missing!","")</f>
        <v/>
      </c>
      <c r="BC28" s="849" t="str">
        <f t="shared" ref="BC28" si="34">IF(AK28&lt;&gt;"","Missing!","")</f>
        <v/>
      </c>
      <c r="BD28" s="837" t="str">
        <f t="shared" ref="BD28" si="35">IF(OR(C28="",L28="",Q28="",T28="",Y28="",AB28="",AE28=""),"",ROUND(Q28,0))</f>
        <v/>
      </c>
      <c r="BE28" s="837" t="str">
        <f t="shared" ref="BE28" si="36">IF(OR(C28="",L28="",Q28="",T28="",Y28="",AB28="",AE28=""),"",ROUND(Y28,0))</f>
        <v/>
      </c>
      <c r="BF28" s="843" t="str">
        <f>IF(C28="","",IF(INDEX(CMEREFRI_N[EUL],MATCH(C28,CMEREFRI_N[Proj Desc 1],0))="","",INDEX(CMEREFRI_N[EUL],MATCH(C28,CMEREFRI_N[Proj Desc 1],0))))</f>
        <v/>
      </c>
      <c r="BG28" s="845" t="str">
        <f>IF(C28="","",IF(INDEX(CMEREFRI_N[End Use Category],MATCH(C28,CMEREFRI_N[Proj Desc 1],0))="","",INDEX(CMEREFRI_N[End Use Category],MATCH(C28,CMEREFRI_N[Proj Desc 1],0))))</f>
        <v/>
      </c>
      <c r="BH28" s="837" t="str">
        <f>IFERROR(IF(OR(C28="",L28="",Q28="",T28="",Y28="",AB28="",AE28=""),"",ROUND(AK28*INDEX(ENDUSEALL[Factor],MATCH(BG28,ENDUSEALL[End Use to Coincident Peak Demand Factors],0)),4)),"")</f>
        <v/>
      </c>
      <c r="BI28" s="874"/>
      <c r="BJ28" s="787" t="str">
        <f>IFERROR(ROUND(AK28*BK28,2),"")</f>
        <v/>
      </c>
      <c r="BK28" s="1067" t="str">
        <f>_xlfn.LET(_xlpm.ROWS,MATCH(BG28,ENDUSEALL[End Use to Coincident Peak Demand Factors],0),IFERROR(INDEX(IF(AND(ACTIVEBONUS_N = TRUE,INDEX(ENDUSEALL[Bonus Rate ($/kWh)],_xlpm.ROWS)&lt;&gt;""),ENDUSEALL[Bonus Rate ($/kWh)],ENDUSEALL[Rate ($/kWh)]),_xlpm.ROWS),""))</f>
        <v/>
      </c>
      <c r="BL28" s="829"/>
      <c r="BM28" s="829"/>
      <c r="BN28" s="1068" t="str">
        <f>_xlfn.LET(_xlpm.BONUS_RATE,INDEX(ENDUSEALL[Bonus Rate ($/kWh)],MATCH(BG28,ENDUSEALL[End Use to Coincident Peak Demand Factors],0)),_xlpm.BASE_RATE,INDEX(ENDUSEALL[Rate ($/kWh)],MATCH(BG28,ENDUSEALL[End Use to Coincident Peak Demand Factors],0)),IFERROR(IF(OR(ACTIVEBONUS_N &lt;&gt; TRUE,ISNUMBER(AN28) = FALSE,BS28 &lt;&gt; ""),"",AN28-(AK28*_xlpm.BASE_RATE)),""))</f>
        <v/>
      </c>
      <c r="BO28" s="1070" t="str">
        <f>IF(OR(C28="",L28="",Q28="",T28="",Y28="",AB28="",AE28=""),"",IF(BQ28&lt;&gt;"",SPILLOVERNUMBER,INDEX(CMEREFRI_N[Measure Number],MATCH(C28,CMEREFRI_N[Proj Desc 1],0))))</f>
        <v/>
      </c>
      <c r="BP28" s="815" t="str">
        <f>IFERROR(
IF(BS28="",
IF(AND(ROUND(AN28/AH28,2)=INCCOSTCAP,BJ28/AH28&gt;INCCOSTCAP),
"100% Incremental Cost",
IF(BK28&lt;KWHRATEMIN,
"kWh Incentive Rate Min",
IF(BK28&gt;KWHRATEMAX,
"kWh Incentive Rate Cap",
IF(AN28=BN28,
"Bonus Incentive",
"kWh Incentive"
)))),""),
"")</f>
        <v/>
      </c>
      <c r="BQ28" s="815" t="str">
        <f ca="1">IFERROR(IF(EXPIRATION&lt;&gt;"",PROJSTATEXP,
IF(BS28&gt;0,"",
IF(BD28-BE28&lt;=0,MEASURESAVE,
IF(OR(N02S03F14="",N02S03F14="Select Rate Code",N02S03F14=0),MEASURERATE,
IF(AND(ISNUMBER(SEARCH("Others",C28)),OR(BF28="",BG28="")),MEASURESUBMIT,
IF(AH28&lt;=0,MEASUREINCR,
IF(PAYPROJ_N&lt;PAYBACKREQ,PROJECTSTATPAYBACK,
IF(CBPROJ_N&lt;CBREQ,PROJECTSTATCB,"")))))))),MEASURESUBMIT)</f>
        <v>Submit for Review</v>
      </c>
      <c r="BR28" s="787" t="str">
        <f>IFERROR(IF(OR(C28="",L28="",Q28="",T28="",Y28="",AB28="",AE28=""),"",
ROUND(((1+ELOSS)*((AK28*INDEX(ELECCB[NPV AEC $/kWh],MATCH(BF28,ELECCB[Year Number],1)))+(BH28*INDEX(ELECCB[NPV ACC $/kW],MATCH(BF28,ELECCB[Year Number],1))))),2)),0)</f>
        <v/>
      </c>
      <c r="BS28" s="853"/>
    </row>
    <row r="29" spans="1:71" ht="15.95" customHeight="1">
      <c r="B29" s="800"/>
      <c r="C29" s="1091"/>
      <c r="D29" s="1092"/>
      <c r="E29" s="1092"/>
      <c r="F29" s="1092"/>
      <c r="G29" s="1092"/>
      <c r="H29" s="1092"/>
      <c r="I29" s="1092"/>
      <c r="J29" s="1092"/>
      <c r="K29" s="1092"/>
      <c r="L29" s="1081"/>
      <c r="M29" s="1081"/>
      <c r="N29" s="1081"/>
      <c r="O29" s="1081"/>
      <c r="P29" s="1119"/>
      <c r="Q29" s="1117"/>
      <c r="R29" s="1078"/>
      <c r="S29" s="1078"/>
      <c r="T29" s="1081"/>
      <c r="U29" s="1081"/>
      <c r="V29" s="1081"/>
      <c r="W29" s="1081"/>
      <c r="X29" s="1119"/>
      <c r="Y29" s="1117"/>
      <c r="Z29" s="1078"/>
      <c r="AA29" s="1078"/>
      <c r="AB29" s="1093"/>
      <c r="AC29" s="1093"/>
      <c r="AD29" s="1094"/>
      <c r="AE29" s="1095"/>
      <c r="AF29" s="1096"/>
      <c r="AG29" s="1096"/>
      <c r="AH29" s="1105"/>
      <c r="AI29" s="1105"/>
      <c r="AJ29" s="1106"/>
      <c r="AK29" s="832"/>
      <c r="AL29" s="832"/>
      <c r="AM29" s="832"/>
      <c r="AN29" s="1100"/>
      <c r="AO29" s="1101"/>
      <c r="AP29" s="1101"/>
      <c r="AQ29" s="1102"/>
      <c r="AR29" s="36"/>
      <c r="AS29" s="36"/>
      <c r="AT29" s="36"/>
      <c r="AU29" s="36"/>
      <c r="AV29" s="36"/>
      <c r="AW29" s="36"/>
      <c r="AY29" s="836"/>
      <c r="AZ29" s="836"/>
      <c r="BA29" s="816"/>
      <c r="BB29" s="850"/>
      <c r="BC29" s="850"/>
      <c r="BD29" s="838"/>
      <c r="BE29" s="838"/>
      <c r="BF29" s="844"/>
      <c r="BG29" s="846"/>
      <c r="BH29" s="838"/>
      <c r="BI29" s="875"/>
      <c r="BJ29" s="788"/>
      <c r="BK29" s="787"/>
      <c r="BL29" s="830"/>
      <c r="BM29" s="830"/>
      <c r="BN29" s="1069"/>
      <c r="BO29" s="1071"/>
      <c r="BP29" s="816"/>
      <c r="BQ29" s="816"/>
      <c r="BR29" s="788"/>
      <c r="BS29" s="854"/>
    </row>
    <row r="30" spans="1:71" ht="15.95" customHeight="1">
      <c r="B30" s="800">
        <v>7</v>
      </c>
      <c r="C30" s="1091"/>
      <c r="D30" s="1092"/>
      <c r="E30" s="1092"/>
      <c r="F30" s="1092"/>
      <c r="G30" s="1092"/>
      <c r="H30" s="1092"/>
      <c r="I30" s="1092"/>
      <c r="J30" s="1092"/>
      <c r="K30" s="1092"/>
      <c r="L30" s="1083"/>
      <c r="M30" s="1083"/>
      <c r="N30" s="1083"/>
      <c r="O30" s="1083"/>
      <c r="P30" s="1121"/>
      <c r="Q30" s="1120"/>
      <c r="R30" s="1086"/>
      <c r="S30" s="1086"/>
      <c r="T30" s="1083"/>
      <c r="U30" s="1083"/>
      <c r="V30" s="1083"/>
      <c r="W30" s="1083"/>
      <c r="X30" s="1121"/>
      <c r="Y30" s="1120"/>
      <c r="Z30" s="1086"/>
      <c r="AA30" s="1086"/>
      <c r="AB30" s="1093"/>
      <c r="AC30" s="1093"/>
      <c r="AD30" s="1094"/>
      <c r="AE30" s="1095"/>
      <c r="AF30" s="1096"/>
      <c r="AG30" s="1096"/>
      <c r="AH30" s="1103" t="str">
        <f t="shared" ref="AH30" si="37">IF(OR(C30="",L30="",Q30="",T30="",Y30="",AB30="",AE30=""),"",ROUND(AE30-AB30,2))</f>
        <v/>
      </c>
      <c r="AI30" s="1103"/>
      <c r="AJ30" s="1104"/>
      <c r="AK30" s="831" t="str">
        <f t="shared" ref="AK30" si="38">IF(OR(C30="",L30="",Q30="",T30="",Y30="",AB30="",AE30=""),"",IF(BD30-BE30&lt;=0,0,ROUND(BD30-BE30,0)))</f>
        <v/>
      </c>
      <c r="AL30" s="831"/>
      <c r="AM30" s="831"/>
      <c r="AN30" s="1097" t="str">
        <f>IF(OR(C30="",L30="",Q30="",T30="",Y30="",AB30="",AE30=""),"",
IF(BQ30&lt;&gt;"",BQ30,IF(BS30&gt;0,BS30,
IF(ACTIVEBLOCK_N="Yes",ROUND(MIN(AH30*INCCOSTCAP,AK30*BLOCKBIDRATE),2),
ROUND(MIN(AH30*INCCOSTCAP,BJ30),2))
)))</f>
        <v/>
      </c>
      <c r="AO30" s="1098"/>
      <c r="AP30" s="1098"/>
      <c r="AQ30" s="1099"/>
      <c r="AR30" s="36"/>
      <c r="AS30" s="36"/>
      <c r="AT30" s="36"/>
      <c r="AU30" s="36"/>
      <c r="AV30" s="36"/>
      <c r="AW30" s="36"/>
      <c r="AY30" s="835" t="str">
        <f t="shared" ref="AY30" si="39">IFERROR(IF(OR(C30="",L30="",Q30="",T30="",Y30="",AB30="",AE30=""),"",ROUND(BR30/AH30,2)),0)</f>
        <v/>
      </c>
      <c r="AZ30" s="835" t="str">
        <f>IFERROR(AH30/N02S03F14/AK30,"")</f>
        <v/>
      </c>
      <c r="BA30" s="815" t="str">
        <f>IF(C30="","",INDEX(CMEREFRI_N[Unit of Measure],MATCH(C30,CMEREFRI_N[Proj Desc 1],0)))</f>
        <v/>
      </c>
      <c r="BB30" s="849" t="str">
        <f t="shared" ref="BB30" si="40">IF(AK30&lt;&gt;"","Missing!","")</f>
        <v/>
      </c>
      <c r="BC30" s="849" t="str">
        <f t="shared" ref="BC30" si="41">IF(AK30&lt;&gt;"","Missing!","")</f>
        <v/>
      </c>
      <c r="BD30" s="837" t="str">
        <f t="shared" ref="BD30" si="42">IF(OR(C30="",L30="",Q30="",T30="",Y30="",AB30="",AE30=""),"",ROUND(Q30,0))</f>
        <v/>
      </c>
      <c r="BE30" s="837" t="str">
        <f t="shared" ref="BE30" si="43">IF(OR(C30="",L30="",Q30="",T30="",Y30="",AB30="",AE30=""),"",ROUND(Y30,0))</f>
        <v/>
      </c>
      <c r="BF30" s="843" t="str">
        <f>IF(C30="","",IF(INDEX(CMEREFRI_N[EUL],MATCH(C30,CMEREFRI_N[Proj Desc 1],0))="","",INDEX(CMEREFRI_N[EUL],MATCH(C30,CMEREFRI_N[Proj Desc 1],0))))</f>
        <v/>
      </c>
      <c r="BG30" s="845" t="str">
        <f>IF(C30="","",IF(INDEX(CMEREFRI_N[End Use Category],MATCH(C30,CMEREFRI_N[Proj Desc 1],0))="","",INDEX(CMEREFRI_N[End Use Category],MATCH(C30,CMEREFRI_N[Proj Desc 1],0))))</f>
        <v/>
      </c>
      <c r="BH30" s="837" t="str">
        <f>IFERROR(IF(OR(C30="",L30="",Q30="",T30="",Y30="",AB30="",AE30=""),"",ROUND(AK30*INDEX(ENDUSEALL[Factor],MATCH(BG30,ENDUSEALL[End Use to Coincident Peak Demand Factors],0)),4)),"")</f>
        <v/>
      </c>
      <c r="BI30" s="874"/>
      <c r="BJ30" s="787" t="str">
        <f>IFERROR(ROUND(AK30*BK30,2),"")</f>
        <v/>
      </c>
      <c r="BK30" s="1067" t="str">
        <f>_xlfn.LET(_xlpm.ROWS,MATCH(BG30,ENDUSEALL[End Use to Coincident Peak Demand Factors],0),IFERROR(INDEX(IF(AND(ACTIVEBONUS_N = TRUE,INDEX(ENDUSEALL[Bonus Rate ($/kWh)],_xlpm.ROWS)&lt;&gt;""),ENDUSEALL[Bonus Rate ($/kWh)],ENDUSEALL[Rate ($/kWh)]),_xlpm.ROWS),""))</f>
        <v/>
      </c>
      <c r="BL30" s="829"/>
      <c r="BM30" s="829"/>
      <c r="BN30" s="1068" t="str">
        <f>_xlfn.LET(_xlpm.BONUS_RATE,INDEX(ENDUSEALL[Bonus Rate ($/kWh)],MATCH(BG30,ENDUSEALL[End Use to Coincident Peak Demand Factors],0)),_xlpm.BASE_RATE,INDEX(ENDUSEALL[Rate ($/kWh)],MATCH(BG30,ENDUSEALL[End Use to Coincident Peak Demand Factors],0)),IFERROR(IF(OR(ACTIVEBONUS_N &lt;&gt; TRUE,ISNUMBER(AN30) = FALSE,BS30 &lt;&gt; ""),"",AN30-(AK30*_xlpm.BASE_RATE)),""))</f>
        <v/>
      </c>
      <c r="BO30" s="1070" t="str">
        <f>IF(OR(C30="",L30="",Q30="",T30="",Y30="",AB30="",AE30=""),"",IF(BQ30&lt;&gt;"",SPILLOVERNUMBER,INDEX(CMEREFRI_N[Measure Number],MATCH(C30,CMEREFRI_N[Proj Desc 1],0))))</f>
        <v/>
      </c>
      <c r="BP30" s="815" t="str">
        <f>IFERROR(
IF(BS30="",
IF(AND(ROUND(AN30/AH30,2)=INCCOSTCAP,BJ30/AH30&gt;INCCOSTCAP),
"100% Incremental Cost",
IF(BK30&lt;KWHRATEMIN,
"kWh Incentive Rate Min",
IF(BK30&gt;KWHRATEMAX,
"kWh Incentive Rate Cap",
IF(AN30=BN30,
"Bonus Incentive",
"kWh Incentive"
)))),""),
"")</f>
        <v/>
      </c>
      <c r="BQ30" s="815" t="str">
        <f ca="1">IFERROR(IF(EXPIRATION&lt;&gt;"",PROJSTATEXP,
IF(BS30&gt;0,"",
IF(BD30-BE30&lt;=0,MEASURESAVE,
IF(OR(N02S03F14="",N02S03F14="Select Rate Code",N02S03F14=0),MEASURERATE,
IF(AND(ISNUMBER(SEARCH("Others",C30)),OR(BF30="",BG30="")),MEASURESUBMIT,
IF(AH30&lt;=0,MEASUREINCR,
IF(PAYPROJ_N&lt;PAYBACKREQ,PROJECTSTATPAYBACK,
IF(CBPROJ_N&lt;CBREQ,PROJECTSTATCB,"")))))))),MEASURESUBMIT)</f>
        <v>Submit for Review</v>
      </c>
      <c r="BR30" s="787" t="str">
        <f>IFERROR(IF(OR(C30="",L30="",Q30="",T30="",Y30="",AB30="",AE30=""),"",
ROUND(((1+ELOSS)*((AK30*INDEX(ELECCB[NPV AEC $/kWh],MATCH(BF30,ELECCB[Year Number],1)))+(BH30*INDEX(ELECCB[NPV ACC $/kW],MATCH(BF30,ELECCB[Year Number],1))))),2)),0)</f>
        <v/>
      </c>
      <c r="BS30" s="853"/>
    </row>
    <row r="31" spans="1:71" ht="15.95" customHeight="1">
      <c r="B31" s="800"/>
      <c r="C31" s="1091"/>
      <c r="D31" s="1092"/>
      <c r="E31" s="1092"/>
      <c r="F31" s="1092"/>
      <c r="G31" s="1092"/>
      <c r="H31" s="1092"/>
      <c r="I31" s="1092"/>
      <c r="J31" s="1092"/>
      <c r="K31" s="1092"/>
      <c r="L31" s="1081"/>
      <c r="M31" s="1081"/>
      <c r="N31" s="1081"/>
      <c r="O31" s="1081"/>
      <c r="P31" s="1119"/>
      <c r="Q31" s="1117"/>
      <c r="R31" s="1078"/>
      <c r="S31" s="1078"/>
      <c r="T31" s="1081"/>
      <c r="U31" s="1081"/>
      <c r="V31" s="1081"/>
      <c r="W31" s="1081"/>
      <c r="X31" s="1119"/>
      <c r="Y31" s="1117"/>
      <c r="Z31" s="1078"/>
      <c r="AA31" s="1078"/>
      <c r="AB31" s="1093"/>
      <c r="AC31" s="1093"/>
      <c r="AD31" s="1094"/>
      <c r="AE31" s="1095"/>
      <c r="AF31" s="1096"/>
      <c r="AG31" s="1096"/>
      <c r="AH31" s="1105"/>
      <c r="AI31" s="1105"/>
      <c r="AJ31" s="1106"/>
      <c r="AK31" s="832"/>
      <c r="AL31" s="832"/>
      <c r="AM31" s="832"/>
      <c r="AN31" s="1100"/>
      <c r="AO31" s="1101"/>
      <c r="AP31" s="1101"/>
      <c r="AQ31" s="1102"/>
      <c r="AR31" s="36"/>
      <c r="AS31" s="36"/>
      <c r="AT31" s="36"/>
      <c r="AU31" s="36"/>
      <c r="AV31" s="36"/>
      <c r="AW31" s="36"/>
      <c r="AY31" s="836"/>
      <c r="AZ31" s="836"/>
      <c r="BA31" s="816"/>
      <c r="BB31" s="850"/>
      <c r="BC31" s="850"/>
      <c r="BD31" s="838"/>
      <c r="BE31" s="838"/>
      <c r="BF31" s="844"/>
      <c r="BG31" s="846"/>
      <c r="BH31" s="838"/>
      <c r="BI31" s="875"/>
      <c r="BJ31" s="788"/>
      <c r="BK31" s="787"/>
      <c r="BL31" s="830"/>
      <c r="BM31" s="830"/>
      <c r="BN31" s="1069"/>
      <c r="BO31" s="1071"/>
      <c r="BP31" s="816"/>
      <c r="BQ31" s="816"/>
      <c r="BR31" s="788"/>
      <c r="BS31" s="854"/>
    </row>
    <row r="32" spans="1:71" ht="15.95" customHeight="1">
      <c r="B32" s="800">
        <v>8</v>
      </c>
      <c r="C32" s="1091"/>
      <c r="D32" s="1092"/>
      <c r="E32" s="1092"/>
      <c r="F32" s="1092"/>
      <c r="G32" s="1092"/>
      <c r="H32" s="1092"/>
      <c r="I32" s="1092"/>
      <c r="J32" s="1092"/>
      <c r="K32" s="1092"/>
      <c r="L32" s="1083"/>
      <c r="M32" s="1083"/>
      <c r="N32" s="1083"/>
      <c r="O32" s="1083"/>
      <c r="P32" s="1121"/>
      <c r="Q32" s="1120"/>
      <c r="R32" s="1086"/>
      <c r="S32" s="1086"/>
      <c r="T32" s="1083"/>
      <c r="U32" s="1083"/>
      <c r="V32" s="1083"/>
      <c r="W32" s="1083"/>
      <c r="X32" s="1121"/>
      <c r="Y32" s="1120"/>
      <c r="Z32" s="1086"/>
      <c r="AA32" s="1086"/>
      <c r="AB32" s="1093"/>
      <c r="AC32" s="1093"/>
      <c r="AD32" s="1094"/>
      <c r="AE32" s="1095"/>
      <c r="AF32" s="1096"/>
      <c r="AG32" s="1096"/>
      <c r="AH32" s="1103" t="str">
        <f t="shared" ref="AH32" si="44">IF(OR(C32="",L32="",Q32="",T32="",Y32="",AB32="",AE32=""),"",ROUND(AE32-AB32,2))</f>
        <v/>
      </c>
      <c r="AI32" s="1103"/>
      <c r="AJ32" s="1104"/>
      <c r="AK32" s="831" t="str">
        <f t="shared" ref="AK32" si="45">IF(OR(C32="",L32="",Q32="",T32="",Y32="",AB32="",AE32=""),"",IF(BD32-BE32&lt;=0,0,ROUND(BD32-BE32,0)))</f>
        <v/>
      </c>
      <c r="AL32" s="831"/>
      <c r="AM32" s="831"/>
      <c r="AN32" s="1097" t="str">
        <f>IF(OR(C32="",L32="",Q32="",T32="",Y32="",AB32="",AE32=""),"",
IF(BQ32&lt;&gt;"",BQ32,IF(BS32&gt;0,BS32,
IF(ACTIVEBLOCK_N="Yes",ROUND(MIN(AH32*INCCOSTCAP,AK32*BLOCKBIDRATE),2),
ROUND(MIN(AH32*INCCOSTCAP,BJ32),2))
)))</f>
        <v/>
      </c>
      <c r="AO32" s="1098"/>
      <c r="AP32" s="1098"/>
      <c r="AQ32" s="1099"/>
      <c r="AR32" s="36"/>
      <c r="AS32" s="36"/>
      <c r="AT32" s="36"/>
      <c r="AU32" s="36"/>
      <c r="AV32" s="36"/>
      <c r="AW32" s="36"/>
      <c r="AY32" s="835" t="str">
        <f t="shared" ref="AY32" si="46">IFERROR(IF(OR(C32="",L32="",Q32="",T32="",Y32="",AB32="",AE32=""),"",ROUND(BR32/AH32,2)),0)</f>
        <v/>
      </c>
      <c r="AZ32" s="835" t="str">
        <f>IFERROR(AH32/N02S03F14/AK32,"")</f>
        <v/>
      </c>
      <c r="BA32" s="815" t="str">
        <f>IF(C32="","",INDEX(CMEREFRI_N[Unit of Measure],MATCH(C32,CMEREFRI_N[Proj Desc 1],0)))</f>
        <v/>
      </c>
      <c r="BB32" s="849" t="str">
        <f t="shared" ref="BB32" si="47">IF(AK32&lt;&gt;"","Missing!","")</f>
        <v/>
      </c>
      <c r="BC32" s="849" t="str">
        <f t="shared" ref="BC32" si="48">IF(AK32&lt;&gt;"","Missing!","")</f>
        <v/>
      </c>
      <c r="BD32" s="837" t="str">
        <f t="shared" ref="BD32" si="49">IF(OR(C32="",L32="",Q32="",T32="",Y32="",AB32="",AE32=""),"",ROUND(Q32,0))</f>
        <v/>
      </c>
      <c r="BE32" s="837" t="str">
        <f t="shared" ref="BE32" si="50">IF(OR(C32="",L32="",Q32="",T32="",Y32="",AB32="",AE32=""),"",ROUND(Y32,0))</f>
        <v/>
      </c>
      <c r="BF32" s="843" t="str">
        <f>IF(C32="","",IF(INDEX(CMEREFRI_N[EUL],MATCH(C32,CMEREFRI_N[Proj Desc 1],0))="","",INDEX(CMEREFRI_N[EUL],MATCH(C32,CMEREFRI_N[Proj Desc 1],0))))</f>
        <v/>
      </c>
      <c r="BG32" s="845" t="str">
        <f>IF(C32="","",IF(INDEX(CMEREFRI_N[End Use Category],MATCH(C32,CMEREFRI_N[Proj Desc 1],0))="","",INDEX(CMEREFRI_N[End Use Category],MATCH(C32,CMEREFRI_N[Proj Desc 1],0))))</f>
        <v/>
      </c>
      <c r="BH32" s="837" t="str">
        <f>IFERROR(IF(OR(C32="",L32="",Q32="",T32="",Y32="",AB32="",AE32=""),"",ROUND(AK32*INDEX(ENDUSEALL[Factor],MATCH(BG32,ENDUSEALL[End Use to Coincident Peak Demand Factors],0)),4)),"")</f>
        <v/>
      </c>
      <c r="BI32" s="874"/>
      <c r="BJ32" s="787" t="str">
        <f>IFERROR(ROUND(AK32*BK32,2),"")</f>
        <v/>
      </c>
      <c r="BK32" s="1067" t="str">
        <f>_xlfn.LET(_xlpm.ROWS,MATCH(BG32,ENDUSEALL[End Use to Coincident Peak Demand Factors],0),IFERROR(INDEX(IF(AND(ACTIVEBONUS_N = TRUE,INDEX(ENDUSEALL[Bonus Rate ($/kWh)],_xlpm.ROWS)&lt;&gt;""),ENDUSEALL[Bonus Rate ($/kWh)],ENDUSEALL[Rate ($/kWh)]),_xlpm.ROWS),""))</f>
        <v/>
      </c>
      <c r="BL32" s="829"/>
      <c r="BM32" s="829"/>
      <c r="BN32" s="1068" t="str">
        <f>_xlfn.LET(_xlpm.BONUS_RATE,INDEX(ENDUSEALL[Bonus Rate ($/kWh)],MATCH(BG32,ENDUSEALL[End Use to Coincident Peak Demand Factors],0)),_xlpm.BASE_RATE,INDEX(ENDUSEALL[Rate ($/kWh)],MATCH(BG32,ENDUSEALL[End Use to Coincident Peak Demand Factors],0)),IFERROR(IF(OR(ACTIVEBONUS_N &lt;&gt; TRUE,ISNUMBER(AN32) = FALSE,BS32 &lt;&gt; ""),"",AN32-(AK32*_xlpm.BASE_RATE)),""))</f>
        <v/>
      </c>
      <c r="BO32" s="1070" t="str">
        <f>IF(OR(C32="",L32="",Q32="",T32="",Y32="",AB32="",AE32=""),"",IF(BQ32&lt;&gt;"",SPILLOVERNUMBER,INDEX(CMEREFRI_N[Measure Number],MATCH(C32,CMEREFRI_N[Proj Desc 1],0))))</f>
        <v/>
      </c>
      <c r="BP32" s="815" t="str">
        <f>IFERROR(
IF(BS32="",
IF(AND(ROUND(AN32/AH32,2)=INCCOSTCAP,BJ32/AH32&gt;INCCOSTCAP),
"100% Incremental Cost",
IF(BK32&lt;KWHRATEMIN,
"kWh Incentive Rate Min",
IF(BK32&gt;KWHRATEMAX,
"kWh Incentive Rate Cap",
IF(AN32=BN32,
"Bonus Incentive",
"kWh Incentive"
)))),""),
"")</f>
        <v/>
      </c>
      <c r="BQ32" s="815" t="str">
        <f ca="1">IFERROR(IF(EXPIRATION&lt;&gt;"",PROJSTATEXP,
IF(BS32&gt;0,"",
IF(BD32-BE32&lt;=0,MEASURESAVE,
IF(OR(N02S03F14="",N02S03F14="Select Rate Code",N02S03F14=0),MEASURERATE,
IF(AND(ISNUMBER(SEARCH("Others",C32)),OR(BF32="",BG32="")),MEASURESUBMIT,
IF(AH32&lt;=0,MEASUREINCR,
IF(PAYPROJ_N&lt;PAYBACKREQ,PROJECTSTATPAYBACK,
IF(CBPROJ_N&lt;CBREQ,PROJECTSTATCB,"")))))))),MEASURESUBMIT)</f>
        <v>Submit for Review</v>
      </c>
      <c r="BR32" s="787" t="str">
        <f>IFERROR(IF(OR(C32="",L32="",Q32="",T32="",Y32="",AB32="",AE32=""),"",
ROUND(((1+ELOSS)*((AK32*INDEX(ELECCB[NPV AEC $/kWh],MATCH(BF32,ELECCB[Year Number],1)))+(BH32*INDEX(ELECCB[NPV ACC $/kW],MATCH(BF32,ELECCB[Year Number],1))))),2)),0)</f>
        <v/>
      </c>
      <c r="BS32" s="853"/>
    </row>
    <row r="33" spans="2:71" ht="15.95" customHeight="1">
      <c r="B33" s="800"/>
      <c r="C33" s="1091"/>
      <c r="D33" s="1092"/>
      <c r="E33" s="1092"/>
      <c r="F33" s="1092"/>
      <c r="G33" s="1092"/>
      <c r="H33" s="1092"/>
      <c r="I33" s="1092"/>
      <c r="J33" s="1092"/>
      <c r="K33" s="1092"/>
      <c r="L33" s="1081"/>
      <c r="M33" s="1081"/>
      <c r="N33" s="1081"/>
      <c r="O33" s="1081"/>
      <c r="P33" s="1119"/>
      <c r="Q33" s="1117"/>
      <c r="R33" s="1078"/>
      <c r="S33" s="1078"/>
      <c r="T33" s="1081"/>
      <c r="U33" s="1081"/>
      <c r="V33" s="1081"/>
      <c r="W33" s="1081"/>
      <c r="X33" s="1119"/>
      <c r="Y33" s="1117"/>
      <c r="Z33" s="1078"/>
      <c r="AA33" s="1078"/>
      <c r="AB33" s="1093"/>
      <c r="AC33" s="1093"/>
      <c r="AD33" s="1094"/>
      <c r="AE33" s="1095"/>
      <c r="AF33" s="1096"/>
      <c r="AG33" s="1096"/>
      <c r="AH33" s="1105"/>
      <c r="AI33" s="1105"/>
      <c r="AJ33" s="1106"/>
      <c r="AK33" s="832"/>
      <c r="AL33" s="832"/>
      <c r="AM33" s="832"/>
      <c r="AN33" s="1100"/>
      <c r="AO33" s="1101"/>
      <c r="AP33" s="1101"/>
      <c r="AQ33" s="1102"/>
      <c r="AR33" s="36"/>
      <c r="AS33" s="36"/>
      <c r="AT33" s="36"/>
      <c r="AU33" s="36"/>
      <c r="AV33" s="36"/>
      <c r="AW33" s="36"/>
      <c r="AY33" s="836"/>
      <c r="AZ33" s="836"/>
      <c r="BA33" s="816"/>
      <c r="BB33" s="850"/>
      <c r="BC33" s="850"/>
      <c r="BD33" s="838"/>
      <c r="BE33" s="838"/>
      <c r="BF33" s="844"/>
      <c r="BG33" s="846"/>
      <c r="BH33" s="838"/>
      <c r="BI33" s="875"/>
      <c r="BJ33" s="788"/>
      <c r="BK33" s="787"/>
      <c r="BL33" s="830"/>
      <c r="BM33" s="830"/>
      <c r="BN33" s="1069"/>
      <c r="BO33" s="1071"/>
      <c r="BP33" s="816"/>
      <c r="BQ33" s="816"/>
      <c r="BR33" s="788"/>
      <c r="BS33" s="854"/>
    </row>
    <row r="34" spans="2:71" ht="15.95" customHeight="1">
      <c r="B34" s="800">
        <v>9</v>
      </c>
      <c r="C34" s="1091"/>
      <c r="D34" s="1092"/>
      <c r="E34" s="1092"/>
      <c r="F34" s="1092"/>
      <c r="G34" s="1092"/>
      <c r="H34" s="1092"/>
      <c r="I34" s="1092"/>
      <c r="J34" s="1092"/>
      <c r="K34" s="1092"/>
      <c r="L34" s="1083"/>
      <c r="M34" s="1083"/>
      <c r="N34" s="1083"/>
      <c r="O34" s="1083"/>
      <c r="P34" s="1121"/>
      <c r="Q34" s="1120"/>
      <c r="R34" s="1086"/>
      <c r="S34" s="1086"/>
      <c r="T34" s="1083"/>
      <c r="U34" s="1083"/>
      <c r="V34" s="1083"/>
      <c r="W34" s="1083"/>
      <c r="X34" s="1121"/>
      <c r="Y34" s="1120"/>
      <c r="Z34" s="1086"/>
      <c r="AA34" s="1086"/>
      <c r="AB34" s="1093"/>
      <c r="AC34" s="1093"/>
      <c r="AD34" s="1094"/>
      <c r="AE34" s="1095"/>
      <c r="AF34" s="1096"/>
      <c r="AG34" s="1096"/>
      <c r="AH34" s="1103" t="str">
        <f t="shared" ref="AH34" si="51">IF(OR(C34="",L34="",Q34="",T34="",Y34="",AB34="",AE34=""),"",ROUND(AE34-AB34,2))</f>
        <v/>
      </c>
      <c r="AI34" s="1103"/>
      <c r="AJ34" s="1104"/>
      <c r="AK34" s="831" t="str">
        <f t="shared" ref="AK34" si="52">IF(OR(C34="",L34="",Q34="",T34="",Y34="",AB34="",AE34=""),"",IF(BD34-BE34&lt;=0,0,ROUND(BD34-BE34,0)))</f>
        <v/>
      </c>
      <c r="AL34" s="831"/>
      <c r="AM34" s="831"/>
      <c r="AN34" s="1097" t="str">
        <f>IF(OR(C34="",L34="",Q34="",T34="",Y34="",AB34="",AE34=""),"",
IF(BQ34&lt;&gt;"",BQ34,IF(BS34&gt;0,BS34,
IF(ACTIVEBLOCK_N="Yes",ROUND(MIN(AH34*INCCOSTCAP,AK34*BLOCKBIDRATE),2),
ROUND(MIN(AH34*INCCOSTCAP,BJ34),2))
)))</f>
        <v/>
      </c>
      <c r="AO34" s="1098"/>
      <c r="AP34" s="1098"/>
      <c r="AQ34" s="1099"/>
      <c r="AR34" s="36"/>
      <c r="AS34" s="36"/>
      <c r="AT34" s="36"/>
      <c r="AU34" s="36"/>
      <c r="AV34" s="36"/>
      <c r="AW34" s="36"/>
      <c r="AY34" s="835" t="str">
        <f t="shared" ref="AY34" si="53">IFERROR(IF(OR(C34="",L34="",Q34="",T34="",Y34="",AB34="",AE34=""),"",ROUND(BR34/AH34,2)),0)</f>
        <v/>
      </c>
      <c r="AZ34" s="835" t="str">
        <f>IFERROR(AH34/N02S03F14/AK34,"")</f>
        <v/>
      </c>
      <c r="BA34" s="815" t="str">
        <f>IF(C34="","",INDEX(CMEREFRI_N[Unit of Measure],MATCH(C34,CMEREFRI_N[Proj Desc 1],0)))</f>
        <v/>
      </c>
      <c r="BB34" s="849" t="str">
        <f t="shared" ref="BB34" si="54">IF(AK34&lt;&gt;"","Missing!","")</f>
        <v/>
      </c>
      <c r="BC34" s="849" t="str">
        <f t="shared" ref="BC34" si="55">IF(AK34&lt;&gt;"","Missing!","")</f>
        <v/>
      </c>
      <c r="BD34" s="837" t="str">
        <f t="shared" ref="BD34" si="56">IF(OR(C34="",L34="",Q34="",T34="",Y34="",AB34="",AE34=""),"",ROUND(Q34,0))</f>
        <v/>
      </c>
      <c r="BE34" s="837" t="str">
        <f t="shared" ref="BE34" si="57">IF(OR(C34="",L34="",Q34="",T34="",Y34="",AB34="",AE34=""),"",ROUND(Y34,0))</f>
        <v/>
      </c>
      <c r="BF34" s="843" t="str">
        <f>IF(C34="","",IF(INDEX(CMEREFRI_N[EUL],MATCH(C34,CMEREFRI_N[Proj Desc 1],0))="","",INDEX(CMEREFRI_N[EUL],MATCH(C34,CMEREFRI_N[Proj Desc 1],0))))</f>
        <v/>
      </c>
      <c r="BG34" s="845" t="str">
        <f>IF(C34="","",IF(INDEX(CMEREFRI_N[End Use Category],MATCH(C34,CMEREFRI_N[Proj Desc 1],0))="","",INDEX(CMEREFRI_N[End Use Category],MATCH(C34,CMEREFRI_N[Proj Desc 1],0))))</f>
        <v/>
      </c>
      <c r="BH34" s="837" t="str">
        <f>IFERROR(IF(OR(C34="",L34="",Q34="",T34="",Y34="",AB34="",AE34=""),"",ROUND(AK34*INDEX(ENDUSEALL[Factor],MATCH(BG34,ENDUSEALL[End Use to Coincident Peak Demand Factors],0)),4)),"")</f>
        <v/>
      </c>
      <c r="BI34" s="874"/>
      <c r="BJ34" s="787" t="str">
        <f>IFERROR(ROUND(AK34*BK34,2),"")</f>
        <v/>
      </c>
      <c r="BK34" s="1067" t="str">
        <f>_xlfn.LET(_xlpm.ROWS,MATCH(BG34,ENDUSEALL[End Use to Coincident Peak Demand Factors],0),IFERROR(INDEX(IF(AND(ACTIVEBONUS_N = TRUE,INDEX(ENDUSEALL[Bonus Rate ($/kWh)],_xlpm.ROWS)&lt;&gt;""),ENDUSEALL[Bonus Rate ($/kWh)],ENDUSEALL[Rate ($/kWh)]),_xlpm.ROWS),""))</f>
        <v/>
      </c>
      <c r="BL34" s="829"/>
      <c r="BM34" s="829"/>
      <c r="BN34" s="1068" t="str">
        <f>_xlfn.LET(_xlpm.BONUS_RATE,INDEX(ENDUSEALL[Bonus Rate ($/kWh)],MATCH(BG34,ENDUSEALL[End Use to Coincident Peak Demand Factors],0)),_xlpm.BASE_RATE,INDEX(ENDUSEALL[Rate ($/kWh)],MATCH(BG34,ENDUSEALL[End Use to Coincident Peak Demand Factors],0)),IFERROR(IF(OR(ACTIVEBONUS_N &lt;&gt; TRUE,ISNUMBER(AN34) = FALSE,BS34 &lt;&gt; ""),"",AN34-(AK34*_xlpm.BASE_RATE)),""))</f>
        <v/>
      </c>
      <c r="BO34" s="1070" t="str">
        <f>IF(OR(C34="",L34="",Q34="",T34="",Y34="",AB34="",AE34=""),"",IF(BQ34&lt;&gt;"",SPILLOVERNUMBER,INDEX(CMEREFRI_N[Measure Number],MATCH(C34,CMEREFRI_N[Proj Desc 1],0))))</f>
        <v/>
      </c>
      <c r="BP34" s="815" t="str">
        <f>IFERROR(
IF(BS34="",
IF(AND(ROUND(AN34/AH34,2)=INCCOSTCAP,BJ34/AH34&gt;INCCOSTCAP),
"100% Incremental Cost",
IF(BK34&lt;KWHRATEMIN,
"kWh Incentive Rate Min",
IF(BK34&gt;KWHRATEMAX,
"kWh Incentive Rate Cap",
IF(AN34=BN34,
"Bonus Incentive",
"kWh Incentive"
)))),""),
"")</f>
        <v/>
      </c>
      <c r="BQ34" s="815" t="str">
        <f ca="1">IFERROR(IF(EXPIRATION&lt;&gt;"",PROJSTATEXP,
IF(BS34&gt;0,"",
IF(BD34-BE34&lt;=0,MEASURESAVE,
IF(OR(N02S03F14="",N02S03F14="Select Rate Code",N02S03F14=0),MEASURERATE,
IF(AND(ISNUMBER(SEARCH("Others",C34)),OR(BF34="",BG34="")),MEASURESUBMIT,
IF(AH34&lt;=0,MEASUREINCR,
IF(PAYPROJ_N&lt;PAYBACKREQ,PROJECTSTATPAYBACK,
IF(CBPROJ_N&lt;CBREQ,PROJECTSTATCB,"")))))))),MEASURESUBMIT)</f>
        <v>Submit for Review</v>
      </c>
      <c r="BR34" s="787" t="str">
        <f>IFERROR(IF(OR(C34="",L34="",Q34="",T34="",Y34="",AB34="",AE34=""),"",
ROUND(((1+ELOSS)*((AK34*INDEX(ELECCB[NPV AEC $/kWh],MATCH(BF34,ELECCB[Year Number],1)))+(BH34*INDEX(ELECCB[NPV ACC $/kW],MATCH(BF34,ELECCB[Year Number],1))))),2)),0)</f>
        <v/>
      </c>
      <c r="BS34" s="853"/>
    </row>
    <row r="35" spans="2:71" ht="15.95" customHeight="1">
      <c r="B35" s="800"/>
      <c r="C35" s="1091"/>
      <c r="D35" s="1092"/>
      <c r="E35" s="1092"/>
      <c r="F35" s="1092"/>
      <c r="G35" s="1092"/>
      <c r="H35" s="1092"/>
      <c r="I35" s="1092"/>
      <c r="J35" s="1092"/>
      <c r="K35" s="1092"/>
      <c r="L35" s="1081"/>
      <c r="M35" s="1081"/>
      <c r="N35" s="1081"/>
      <c r="O35" s="1081"/>
      <c r="P35" s="1119"/>
      <c r="Q35" s="1117"/>
      <c r="R35" s="1078"/>
      <c r="S35" s="1078"/>
      <c r="T35" s="1081"/>
      <c r="U35" s="1081"/>
      <c r="V35" s="1081"/>
      <c r="W35" s="1081"/>
      <c r="X35" s="1119"/>
      <c r="Y35" s="1117"/>
      <c r="Z35" s="1078"/>
      <c r="AA35" s="1078"/>
      <c r="AB35" s="1093"/>
      <c r="AC35" s="1093"/>
      <c r="AD35" s="1094"/>
      <c r="AE35" s="1095"/>
      <c r="AF35" s="1096"/>
      <c r="AG35" s="1096"/>
      <c r="AH35" s="1105"/>
      <c r="AI35" s="1105"/>
      <c r="AJ35" s="1106"/>
      <c r="AK35" s="832"/>
      <c r="AL35" s="832"/>
      <c r="AM35" s="832"/>
      <c r="AN35" s="1100"/>
      <c r="AO35" s="1101"/>
      <c r="AP35" s="1101"/>
      <c r="AQ35" s="1102"/>
      <c r="AR35" s="36"/>
      <c r="AS35" s="36"/>
      <c r="AT35" s="36"/>
      <c r="AU35" s="36"/>
      <c r="AV35" s="36"/>
      <c r="AW35" s="36"/>
      <c r="AY35" s="836"/>
      <c r="AZ35" s="836"/>
      <c r="BA35" s="816"/>
      <c r="BB35" s="850"/>
      <c r="BC35" s="850"/>
      <c r="BD35" s="838"/>
      <c r="BE35" s="838"/>
      <c r="BF35" s="844"/>
      <c r="BG35" s="846"/>
      <c r="BH35" s="838"/>
      <c r="BI35" s="875"/>
      <c r="BJ35" s="788"/>
      <c r="BK35" s="787"/>
      <c r="BL35" s="830"/>
      <c r="BM35" s="830"/>
      <c r="BN35" s="1069"/>
      <c r="BO35" s="1071"/>
      <c r="BP35" s="816"/>
      <c r="BQ35" s="816"/>
      <c r="BR35" s="788"/>
      <c r="BS35" s="854"/>
    </row>
    <row r="36" spans="2:71" ht="15.95" customHeight="1">
      <c r="B36" s="800">
        <v>10</v>
      </c>
      <c r="C36" s="1091"/>
      <c r="D36" s="1092"/>
      <c r="E36" s="1092"/>
      <c r="F36" s="1092"/>
      <c r="G36" s="1092"/>
      <c r="H36" s="1092"/>
      <c r="I36" s="1092"/>
      <c r="J36" s="1092"/>
      <c r="K36" s="1092"/>
      <c r="L36" s="1083"/>
      <c r="M36" s="1083"/>
      <c r="N36" s="1083"/>
      <c r="O36" s="1083"/>
      <c r="P36" s="1121"/>
      <c r="Q36" s="1120"/>
      <c r="R36" s="1086"/>
      <c r="S36" s="1086"/>
      <c r="T36" s="1083"/>
      <c r="U36" s="1083"/>
      <c r="V36" s="1083"/>
      <c r="W36" s="1083"/>
      <c r="X36" s="1121"/>
      <c r="Y36" s="1120"/>
      <c r="Z36" s="1086"/>
      <c r="AA36" s="1086"/>
      <c r="AB36" s="1093"/>
      <c r="AC36" s="1093"/>
      <c r="AD36" s="1094"/>
      <c r="AE36" s="1095"/>
      <c r="AF36" s="1096"/>
      <c r="AG36" s="1096"/>
      <c r="AH36" s="1103" t="str">
        <f t="shared" ref="AH36" si="58">IF(OR(C36="",L36="",Q36="",T36="",Y36="",AB36="",AE36=""),"",ROUND(AE36-AB36,2))</f>
        <v/>
      </c>
      <c r="AI36" s="1103"/>
      <c r="AJ36" s="1104"/>
      <c r="AK36" s="831" t="str">
        <f t="shared" ref="AK36" si="59">IF(OR(C36="",L36="",Q36="",T36="",Y36="",AB36="",AE36=""),"",IF(BD36-BE36&lt;=0,0,ROUND(BD36-BE36,0)))</f>
        <v/>
      </c>
      <c r="AL36" s="831"/>
      <c r="AM36" s="831"/>
      <c r="AN36" s="1097" t="str">
        <f>IF(OR(C36="",L36="",Q36="",T36="",Y36="",AB36="",AE36=""),"",
IF(BQ36&lt;&gt;"",BQ36,IF(BS36&gt;0,BS36,
IF(ACTIVEBLOCK_N="Yes",ROUND(MIN(AH36*INCCOSTCAP,AK36*BLOCKBIDRATE),2),
ROUND(MIN(AH36*INCCOSTCAP,BJ36),2))
)))</f>
        <v/>
      </c>
      <c r="AO36" s="1098"/>
      <c r="AP36" s="1098"/>
      <c r="AQ36" s="1099"/>
      <c r="AR36" s="36"/>
      <c r="AS36" s="36"/>
      <c r="AT36" s="36"/>
      <c r="AU36" s="36"/>
      <c r="AV36" s="36"/>
      <c r="AW36" s="36"/>
      <c r="AY36" s="835" t="str">
        <f t="shared" ref="AY36" si="60">IFERROR(IF(OR(C36="",L36="",Q36="",T36="",Y36="",AB36="",AE36=""),"",ROUND(BR36/AH36,2)),0)</f>
        <v/>
      </c>
      <c r="AZ36" s="835" t="str">
        <f>IFERROR(AH36/N02S03F14/AK36,"")</f>
        <v/>
      </c>
      <c r="BA36" s="815" t="str">
        <f>IF(C36="","",INDEX(CMEREFRI_N[Unit of Measure],MATCH(C36,CMEREFRI_N[Proj Desc 1],0)))</f>
        <v/>
      </c>
      <c r="BB36" s="849" t="str">
        <f t="shared" ref="BB36" si="61">IF(AK36&lt;&gt;"","Missing!","")</f>
        <v/>
      </c>
      <c r="BC36" s="849" t="str">
        <f t="shared" ref="BC36" si="62">IF(AK36&lt;&gt;"","Missing!","")</f>
        <v/>
      </c>
      <c r="BD36" s="837" t="str">
        <f t="shared" ref="BD36" si="63">IF(OR(C36="",L36="",Q36="",T36="",Y36="",AB36="",AE36=""),"",ROUND(Q36,0))</f>
        <v/>
      </c>
      <c r="BE36" s="837" t="str">
        <f t="shared" ref="BE36" si="64">IF(OR(C36="",L36="",Q36="",T36="",Y36="",AB36="",AE36=""),"",ROUND(Y36,0))</f>
        <v/>
      </c>
      <c r="BF36" s="843" t="str">
        <f>IF(C36="","",IF(INDEX(CMEREFRI_N[EUL],MATCH(C36,CMEREFRI_N[Proj Desc 1],0))="","",INDEX(CMEREFRI_N[EUL],MATCH(C36,CMEREFRI_N[Proj Desc 1],0))))</f>
        <v/>
      </c>
      <c r="BG36" s="845" t="str">
        <f>IF(C36="","",IF(INDEX(CMEREFRI_N[End Use Category],MATCH(C36,CMEREFRI_N[Proj Desc 1],0))="","",INDEX(CMEREFRI_N[End Use Category],MATCH(C36,CMEREFRI_N[Proj Desc 1],0))))</f>
        <v/>
      </c>
      <c r="BH36" s="837" t="str">
        <f>IFERROR(IF(OR(C36="",L36="",Q36="",T36="",Y36="",AB36="",AE36=""),"",ROUND(AK36*INDEX(ENDUSEALL[Factor],MATCH(BG36,ENDUSEALL[End Use to Coincident Peak Demand Factors],0)),4)),"")</f>
        <v/>
      </c>
      <c r="BI36" s="874"/>
      <c r="BJ36" s="787" t="str">
        <f>IFERROR(ROUND(AK36*BK36,2),"")</f>
        <v/>
      </c>
      <c r="BK36" s="1067" t="str">
        <f>_xlfn.LET(_xlpm.ROWS,MATCH(BG36,ENDUSEALL[End Use to Coincident Peak Demand Factors],0),IFERROR(INDEX(IF(AND(ACTIVEBONUS_N = TRUE,INDEX(ENDUSEALL[Bonus Rate ($/kWh)],_xlpm.ROWS)&lt;&gt;""),ENDUSEALL[Bonus Rate ($/kWh)],ENDUSEALL[Rate ($/kWh)]),_xlpm.ROWS),""))</f>
        <v/>
      </c>
      <c r="BL36" s="829"/>
      <c r="BM36" s="829"/>
      <c r="BN36" s="1068" t="str">
        <f>_xlfn.LET(_xlpm.BONUS_RATE,INDEX(ENDUSEALL[Bonus Rate ($/kWh)],MATCH(BG36,ENDUSEALL[End Use to Coincident Peak Demand Factors],0)),_xlpm.BASE_RATE,INDEX(ENDUSEALL[Rate ($/kWh)],MATCH(BG36,ENDUSEALL[End Use to Coincident Peak Demand Factors],0)),IFERROR(IF(OR(ACTIVEBONUS_N &lt;&gt; TRUE,ISNUMBER(AN36) = FALSE,BS36 &lt;&gt; ""),"",AN36-(AK36*_xlpm.BASE_RATE)),""))</f>
        <v/>
      </c>
      <c r="BO36" s="1070" t="str">
        <f>IF(OR(C36="",L36="",Q36="",T36="",Y36="",AB36="",AE36=""),"",IF(BQ36&lt;&gt;"",SPILLOVERNUMBER,INDEX(CMEREFRI_N[Measure Number],MATCH(C36,CMEREFRI_N[Proj Desc 1],0))))</f>
        <v/>
      </c>
      <c r="BP36" s="815" t="str">
        <f>IFERROR(
IF(BS36="",
IF(AND(ROUND(AN36/AH36,2)=INCCOSTCAP,BJ36/AH36&gt;INCCOSTCAP),
"100% Incremental Cost",
IF(BK36&lt;KWHRATEMIN,
"kWh Incentive Rate Min",
IF(BK36&gt;KWHRATEMAX,
"kWh Incentive Rate Cap",
IF(AN36=BN36,
"Bonus Incentive",
"kWh Incentive"
)))),""),
"")</f>
        <v/>
      </c>
      <c r="BQ36" s="815" t="str">
        <f ca="1">IFERROR(IF(EXPIRATION&lt;&gt;"",PROJSTATEXP,
IF(BS36&gt;0,"",
IF(BD36-BE36&lt;=0,MEASURESAVE,
IF(OR(N02S03F14="",N02S03F14="Select Rate Code",N02S03F14=0),MEASURERATE,
IF(AND(ISNUMBER(SEARCH("Others",C36)),OR(BF36="",BG36="")),MEASURESUBMIT,
IF(AH36&lt;=0,MEASUREINCR,
IF(PAYPROJ_N&lt;PAYBACKREQ,PROJECTSTATPAYBACK,
IF(CBPROJ_N&lt;CBREQ,PROJECTSTATCB,"")))))))),MEASURESUBMIT)</f>
        <v>Submit for Review</v>
      </c>
      <c r="BR36" s="787" t="str">
        <f>IFERROR(IF(OR(C36="",L36="",Q36="",T36="",Y36="",AB36="",AE36=""),"",
ROUND(((1+ELOSS)*((AK36*INDEX(ELECCB[NPV AEC $/kWh],MATCH(BF36,ELECCB[Year Number],1)))+(BH36*INDEX(ELECCB[NPV ACC $/kW],MATCH(BF36,ELECCB[Year Number],1))))),2)),0)</f>
        <v/>
      </c>
      <c r="BS36" s="853"/>
    </row>
    <row r="37" spans="2:71" ht="15.95" customHeight="1">
      <c r="B37" s="800"/>
      <c r="C37" s="1091"/>
      <c r="D37" s="1092"/>
      <c r="E37" s="1092"/>
      <c r="F37" s="1092"/>
      <c r="G37" s="1092"/>
      <c r="H37" s="1092"/>
      <c r="I37" s="1092"/>
      <c r="J37" s="1092"/>
      <c r="K37" s="1092"/>
      <c r="L37" s="1081"/>
      <c r="M37" s="1081"/>
      <c r="N37" s="1081"/>
      <c r="O37" s="1081"/>
      <c r="P37" s="1119"/>
      <c r="Q37" s="1117"/>
      <c r="R37" s="1078"/>
      <c r="S37" s="1078"/>
      <c r="T37" s="1081"/>
      <c r="U37" s="1081"/>
      <c r="V37" s="1081"/>
      <c r="W37" s="1081"/>
      <c r="X37" s="1119"/>
      <c r="Y37" s="1117"/>
      <c r="Z37" s="1078"/>
      <c r="AA37" s="1078"/>
      <c r="AB37" s="1093"/>
      <c r="AC37" s="1093"/>
      <c r="AD37" s="1094"/>
      <c r="AE37" s="1095"/>
      <c r="AF37" s="1096"/>
      <c r="AG37" s="1096"/>
      <c r="AH37" s="1105"/>
      <c r="AI37" s="1105"/>
      <c r="AJ37" s="1106"/>
      <c r="AK37" s="832"/>
      <c r="AL37" s="832"/>
      <c r="AM37" s="832"/>
      <c r="AN37" s="1100"/>
      <c r="AO37" s="1101"/>
      <c r="AP37" s="1101"/>
      <c r="AQ37" s="1102"/>
      <c r="AR37" s="36"/>
      <c r="AS37" s="36"/>
      <c r="AT37" s="36"/>
      <c r="AU37" s="36"/>
      <c r="AV37" s="36"/>
      <c r="AW37" s="36"/>
      <c r="AY37" s="836"/>
      <c r="AZ37" s="836"/>
      <c r="BA37" s="816"/>
      <c r="BB37" s="850"/>
      <c r="BC37" s="850"/>
      <c r="BD37" s="838"/>
      <c r="BE37" s="838"/>
      <c r="BF37" s="844"/>
      <c r="BG37" s="846"/>
      <c r="BH37" s="838"/>
      <c r="BI37" s="875"/>
      <c r="BJ37" s="788"/>
      <c r="BK37" s="787"/>
      <c r="BL37" s="830"/>
      <c r="BM37" s="830"/>
      <c r="BN37" s="1069"/>
      <c r="BO37" s="1071"/>
      <c r="BP37" s="816"/>
      <c r="BQ37" s="816"/>
      <c r="BR37" s="788"/>
      <c r="BS37" s="854"/>
    </row>
    <row r="38" spans="2:71" ht="15.95" customHeight="1">
      <c r="B38" s="800"/>
    </row>
    <row r="39" spans="2:71" ht="15.95" hidden="1" customHeight="1">
      <c r="B39" s="800"/>
    </row>
    <row r="40" spans="2:71" ht="15.95" hidden="1" customHeight="1">
      <c r="B40" s="800"/>
    </row>
    <row r="41" spans="2:71" ht="15.95" hidden="1" customHeight="1">
      <c r="B41" s="800"/>
    </row>
    <row r="42" spans="2:71" ht="15.95" hidden="1" customHeight="1">
      <c r="B42" s="800"/>
    </row>
    <row r="43" spans="2:71" ht="15.95" hidden="1" customHeight="1">
      <c r="B43" s="800"/>
    </row>
    <row r="44" spans="2:71" ht="15.95" hidden="1" customHeight="1">
      <c r="B44" s="800"/>
    </row>
    <row r="45" spans="2:71" ht="15.95" hidden="1" customHeight="1">
      <c r="B45" s="800"/>
    </row>
    <row r="46" spans="2:71" ht="15.95" hidden="1" customHeight="1">
      <c r="B46" s="800"/>
    </row>
    <row r="47" spans="2:71" ht="15.95" hidden="1" customHeight="1">
      <c r="B47" s="800"/>
    </row>
    <row r="48" spans="2:71" ht="15.95" hidden="1" customHeight="1">
      <c r="AZ48" s="25"/>
      <c r="BA48" s="31"/>
      <c r="BD48" s="31"/>
      <c r="BE48" s="31"/>
    </row>
    <row r="49" spans="52:57" ht="15.95" hidden="1" customHeight="1">
      <c r="AZ49" s="25"/>
      <c r="BA49" s="31"/>
      <c r="BD49" s="31"/>
      <c r="BE49" s="31"/>
    </row>
    <row r="50" spans="52:57" ht="15.95" hidden="1" customHeight="1">
      <c r="AZ50" s="25"/>
      <c r="BA50" s="31"/>
      <c r="BD50" s="31"/>
      <c r="BE50" s="31"/>
    </row>
    <row r="51" spans="52:57" ht="15.95" hidden="1" customHeight="1">
      <c r="AZ51" s="25"/>
      <c r="BA51" s="31"/>
      <c r="BD51" s="31"/>
      <c r="BE51" s="31"/>
    </row>
    <row r="52" spans="52:57" ht="15.95" hidden="1" customHeight="1">
      <c r="AZ52" s="25"/>
      <c r="BA52" s="31"/>
      <c r="BD52" s="31"/>
      <c r="BE52" s="31"/>
    </row>
    <row r="53" spans="52:57" ht="15.95" hidden="1" customHeight="1">
      <c r="AZ53" s="25"/>
      <c r="BA53" s="31"/>
      <c r="BD53" s="31"/>
      <c r="BE53" s="31"/>
    </row>
    <row r="54" spans="52:57" ht="15.95" hidden="1" customHeight="1">
      <c r="AZ54" s="25"/>
      <c r="BA54" s="31"/>
      <c r="BD54" s="31"/>
      <c r="BE54" s="31"/>
    </row>
    <row r="55" spans="52:57" ht="15.95" hidden="1" customHeight="1">
      <c r="AZ55" s="25"/>
      <c r="BA55" s="31"/>
      <c r="BD55" s="31"/>
      <c r="BE55" s="31"/>
    </row>
    <row r="56" spans="52:57" ht="15.95" hidden="1" customHeight="1">
      <c r="AZ56" s="25"/>
      <c r="BA56" s="31"/>
      <c r="BD56" s="31"/>
      <c r="BE56" s="31"/>
    </row>
    <row r="57" spans="52:57" ht="15.95" hidden="1" customHeight="1">
      <c r="AZ57" s="25"/>
      <c r="BA57" s="31"/>
      <c r="BD57" s="31"/>
      <c r="BE57" s="31"/>
    </row>
    <row r="58" spans="52:57" ht="15.95" hidden="1" customHeight="1">
      <c r="AZ58" s="25"/>
      <c r="BA58" s="31"/>
      <c r="BD58" s="31"/>
      <c r="BE58" s="31"/>
    </row>
    <row r="59" spans="52:57" ht="15.95" hidden="1" customHeight="1">
      <c r="AZ59" s="25"/>
      <c r="BA59" s="31"/>
      <c r="BD59" s="31"/>
      <c r="BE59" s="31"/>
    </row>
    <row r="60" spans="52:57" ht="15.95" hidden="1" customHeight="1">
      <c r="AZ60" s="25"/>
      <c r="BA60" s="31"/>
      <c r="BD60" s="31"/>
      <c r="BE60" s="31"/>
    </row>
    <row r="61" spans="52:57" ht="15.95" hidden="1" customHeight="1">
      <c r="AZ61" s="25"/>
      <c r="BA61" s="31"/>
      <c r="BD61" s="31"/>
      <c r="BE61" s="31"/>
    </row>
    <row r="62" spans="52:57" ht="15.95" hidden="1" customHeight="1">
      <c r="AZ62" s="25"/>
      <c r="BA62" s="31"/>
      <c r="BD62" s="31"/>
      <c r="BE62" s="31"/>
    </row>
    <row r="63" spans="52:57" ht="15.95" hidden="1" customHeight="1">
      <c r="AZ63" s="25"/>
      <c r="BA63" s="31"/>
      <c r="BD63" s="31"/>
      <c r="BE63" s="31"/>
    </row>
    <row r="64" spans="52:57" ht="15.95" hidden="1" customHeight="1">
      <c r="AZ64" s="25"/>
      <c r="BA64" s="31"/>
      <c r="BD64" s="31"/>
      <c r="BE64" s="31"/>
    </row>
    <row r="65" spans="52:57" ht="15.95" hidden="1" customHeight="1">
      <c r="AZ65" s="25"/>
      <c r="BA65" s="31"/>
      <c r="BD65" s="31"/>
      <c r="BE65" s="31"/>
    </row>
    <row r="66" spans="52:57" ht="15.95" hidden="1" customHeight="1">
      <c r="AZ66" s="25"/>
      <c r="BA66" s="31"/>
      <c r="BD66" s="31"/>
      <c r="BE66" s="31"/>
    </row>
    <row r="67" spans="52:57" ht="15.95" hidden="1" customHeight="1">
      <c r="AZ67" s="25"/>
      <c r="BA67" s="31"/>
      <c r="BD67" s="31"/>
      <c r="BE67" s="31"/>
    </row>
    <row r="68" spans="52:57" ht="15.95" hidden="1" customHeight="1">
      <c r="AZ68" s="25"/>
      <c r="BA68" s="31"/>
      <c r="BD68" s="31"/>
      <c r="BE68" s="31"/>
    </row>
    <row r="69" spans="52:57" ht="15.95" hidden="1" customHeight="1">
      <c r="AZ69" s="25"/>
      <c r="BA69" s="31"/>
      <c r="BD69" s="31"/>
      <c r="BE69" s="31"/>
    </row>
    <row r="70" spans="52:57" ht="15.95" hidden="1" customHeight="1">
      <c r="AZ70" s="25"/>
      <c r="BA70" s="31"/>
      <c r="BD70" s="31"/>
      <c r="BE70" s="31"/>
    </row>
    <row r="71" spans="52:57" ht="15.95" hidden="1" customHeight="1">
      <c r="AZ71" s="25"/>
      <c r="BA71" s="31"/>
      <c r="BD71" s="31"/>
      <c r="BE71" s="31"/>
    </row>
    <row r="72" spans="52:57" ht="15.95" hidden="1" customHeight="1">
      <c r="AZ72" s="25"/>
      <c r="BA72" s="31"/>
      <c r="BD72" s="31"/>
      <c r="BE72" s="31"/>
    </row>
    <row r="73" spans="52:57" ht="15.95" hidden="1" customHeight="1">
      <c r="AZ73" s="25"/>
      <c r="BA73" s="31"/>
      <c r="BD73" s="31"/>
      <c r="BE73" s="31"/>
    </row>
    <row r="74" spans="52:57" ht="15.95" hidden="1" customHeight="1">
      <c r="AZ74" s="25"/>
      <c r="BA74" s="31"/>
      <c r="BD74" s="31"/>
      <c r="BE74" s="31"/>
    </row>
    <row r="75" spans="52:57" ht="15.95" hidden="1" customHeight="1">
      <c r="AZ75" s="25"/>
      <c r="BA75" s="31"/>
      <c r="BD75" s="31"/>
      <c r="BE75" s="31"/>
    </row>
    <row r="76" spans="52:57" ht="15.95" hidden="1" customHeight="1">
      <c r="AZ76" s="25"/>
      <c r="BA76" s="31"/>
      <c r="BD76" s="31"/>
      <c r="BE76" s="31"/>
    </row>
    <row r="77" spans="52:57" ht="15.95" hidden="1" customHeight="1">
      <c r="AZ77" s="25"/>
      <c r="BA77" s="31"/>
      <c r="BD77" s="31"/>
      <c r="BE77" s="31"/>
    </row>
    <row r="78" spans="52:57" ht="15.95" hidden="1" customHeight="1">
      <c r="AZ78" s="25"/>
      <c r="BA78" s="31"/>
      <c r="BD78" s="31"/>
      <c r="BE78" s="31"/>
    </row>
    <row r="79" spans="52:57" ht="15.95" hidden="1" customHeight="1">
      <c r="AZ79" s="25"/>
      <c r="BA79" s="31"/>
      <c r="BD79" s="31"/>
      <c r="BE79" s="31"/>
    </row>
    <row r="80" spans="52:57" ht="15.95" hidden="1" customHeight="1">
      <c r="AZ80" s="25"/>
      <c r="BA80" s="31"/>
      <c r="BD80" s="31"/>
      <c r="BE80" s="31"/>
    </row>
    <row r="81" spans="52:57" ht="15.95" hidden="1" customHeight="1">
      <c r="AZ81" s="25"/>
      <c r="BA81" s="31"/>
      <c r="BD81" s="31"/>
      <c r="BE81" s="31"/>
    </row>
    <row r="82" spans="52:57" ht="15.95" hidden="1" customHeight="1">
      <c r="AZ82" s="25"/>
      <c r="BA82" s="31"/>
      <c r="BD82" s="31"/>
      <c r="BE82" s="31"/>
    </row>
    <row r="83" spans="52:57" ht="15.95" hidden="1" customHeight="1">
      <c r="AZ83" s="25"/>
      <c r="BA83" s="31"/>
      <c r="BD83" s="31"/>
      <c r="BE83" s="31"/>
    </row>
    <row r="84" spans="52:57" ht="15.95" hidden="1" customHeight="1">
      <c r="AZ84" s="25"/>
      <c r="BA84" s="31"/>
      <c r="BD84" s="31"/>
      <c r="BE84" s="31"/>
    </row>
    <row r="85" spans="52:57" ht="15.95" hidden="1" customHeight="1">
      <c r="AZ85" s="25"/>
      <c r="BA85" s="31"/>
      <c r="BD85" s="31"/>
      <c r="BE85" s="31"/>
    </row>
    <row r="86" spans="52:57" ht="15.95" hidden="1" customHeight="1">
      <c r="AZ86" s="25"/>
      <c r="BA86" s="31"/>
      <c r="BD86" s="31"/>
      <c r="BE86" s="31"/>
    </row>
    <row r="87" spans="52:57" ht="15.95" hidden="1" customHeight="1">
      <c r="AZ87" s="25"/>
      <c r="BA87" s="31"/>
      <c r="BD87" s="31"/>
      <c r="BE87" s="31"/>
    </row>
    <row r="88" spans="52:57" ht="15.95" hidden="1" customHeight="1">
      <c r="AZ88" s="25"/>
      <c r="BA88" s="31"/>
      <c r="BD88" s="31"/>
      <c r="BE88" s="31"/>
    </row>
    <row r="89" spans="52:57" ht="15.95" hidden="1" customHeight="1">
      <c r="AZ89" s="25"/>
      <c r="BA89" s="31"/>
      <c r="BD89" s="31"/>
      <c r="BE89" s="31"/>
    </row>
    <row r="90" spans="52:57" ht="15.95" hidden="1" customHeight="1">
      <c r="AZ90" s="25"/>
      <c r="BA90" s="31"/>
      <c r="BD90" s="31"/>
      <c r="BE90" s="31"/>
    </row>
    <row r="91" spans="52:57" ht="15.95" hidden="1" customHeight="1">
      <c r="AZ91" s="25"/>
      <c r="BA91" s="31"/>
      <c r="BD91" s="31"/>
      <c r="BE91" s="31"/>
    </row>
    <row r="92" spans="52:57" ht="15.95" hidden="1" customHeight="1">
      <c r="AZ92" s="25"/>
      <c r="BA92" s="31"/>
      <c r="BD92" s="31"/>
      <c r="BE92" s="31"/>
    </row>
    <row r="93" spans="52:57" ht="15.95" hidden="1" customHeight="1">
      <c r="AZ93" s="25"/>
      <c r="BA93" s="31"/>
      <c r="BD93" s="31"/>
      <c r="BE93" s="31"/>
    </row>
    <row r="94" spans="52:57" ht="15.95" hidden="1" customHeight="1">
      <c r="AZ94" s="25"/>
      <c r="BA94" s="31"/>
      <c r="BD94" s="31"/>
      <c r="BE94" s="31"/>
    </row>
    <row r="95" spans="52:57" ht="15.95" hidden="1" customHeight="1">
      <c r="AZ95" s="25"/>
      <c r="BA95" s="31"/>
      <c r="BD95" s="31"/>
      <c r="BE95" s="31"/>
    </row>
    <row r="96" spans="52:57" ht="15.95" hidden="1" customHeight="1">
      <c r="AZ96" s="25"/>
      <c r="BA96" s="31"/>
      <c r="BD96" s="31"/>
      <c r="BE96" s="31"/>
    </row>
    <row r="97" spans="52:57" ht="15.95" hidden="1" customHeight="1">
      <c r="AZ97" s="25"/>
      <c r="BA97" s="31"/>
      <c r="BD97" s="31"/>
      <c r="BE97" s="31"/>
    </row>
    <row r="98" spans="52:57" ht="15.95" hidden="1" customHeight="1">
      <c r="AZ98" s="25"/>
      <c r="BA98" s="31"/>
      <c r="BD98" s="31"/>
      <c r="BE98" s="31"/>
    </row>
    <row r="99" spans="52:57" ht="15.95" hidden="1" customHeight="1">
      <c r="AZ99" s="25"/>
      <c r="BA99" s="31"/>
      <c r="BD99" s="31"/>
      <c r="BE99" s="31"/>
    </row>
    <row r="100" spans="52:57" ht="15.95" hidden="1" customHeight="1">
      <c r="AZ100" s="25"/>
      <c r="BA100" s="31"/>
      <c r="BD100" s="31"/>
      <c r="BE100" s="31"/>
    </row>
    <row r="101" spans="52:57" ht="15.95" hidden="1" customHeight="1">
      <c r="AZ101" s="25"/>
      <c r="BA101" s="31"/>
      <c r="BD101" s="31"/>
      <c r="BE101" s="31"/>
    </row>
    <row r="102" spans="52:57" ht="15.95" hidden="1" customHeight="1">
      <c r="AZ102" s="25"/>
      <c r="BA102" s="31"/>
      <c r="BD102" s="31"/>
      <c r="BE102" s="31"/>
    </row>
    <row r="103" spans="52:57" ht="15.95" hidden="1" customHeight="1">
      <c r="AZ103" s="25"/>
      <c r="BA103" s="31"/>
      <c r="BD103" s="31"/>
      <c r="BE103" s="31"/>
    </row>
    <row r="104" spans="52:57" ht="15.95" hidden="1" customHeight="1">
      <c r="AZ104" s="25"/>
      <c r="BA104" s="31"/>
      <c r="BD104" s="31"/>
      <c r="BE104" s="31"/>
    </row>
    <row r="105" spans="52:57" ht="15.95" hidden="1" customHeight="1">
      <c r="AZ105" s="25"/>
      <c r="BA105" s="31"/>
      <c r="BD105" s="31"/>
      <c r="BE105" s="31"/>
    </row>
    <row r="106" spans="52:57" ht="15.95" hidden="1" customHeight="1">
      <c r="AZ106" s="25"/>
      <c r="BA106" s="31"/>
      <c r="BD106" s="31"/>
      <c r="BE106" s="31"/>
    </row>
    <row r="107" spans="52:57" ht="15.95" hidden="1" customHeight="1">
      <c r="AZ107" s="25"/>
      <c r="BA107" s="31"/>
      <c r="BD107" s="31"/>
      <c r="BE107" s="31"/>
    </row>
    <row r="108" spans="52:57" ht="15.95" hidden="1" customHeight="1">
      <c r="AZ108" s="25"/>
      <c r="BA108" s="31"/>
      <c r="BD108" s="31"/>
      <c r="BE108" s="31"/>
    </row>
    <row r="109" spans="52:57" ht="15.95" hidden="1" customHeight="1">
      <c r="AZ109" s="25"/>
      <c r="BA109" s="31"/>
      <c r="BD109" s="31"/>
      <c r="BE109" s="31"/>
    </row>
    <row r="110" spans="52:57" ht="15.95" hidden="1" customHeight="1">
      <c r="AZ110" s="25"/>
      <c r="BA110" s="31"/>
      <c r="BD110" s="31"/>
      <c r="BE110" s="31"/>
    </row>
    <row r="111" spans="52:57" ht="15.95" hidden="1" customHeight="1">
      <c r="AZ111" s="25"/>
      <c r="BA111" s="31"/>
      <c r="BD111" s="31"/>
      <c r="BE111" s="31"/>
    </row>
    <row r="112" spans="52:57" ht="15.95" hidden="1" customHeight="1">
      <c r="AZ112" s="25"/>
      <c r="BA112" s="31"/>
      <c r="BD112" s="31"/>
      <c r="BE112" s="31"/>
    </row>
    <row r="113" spans="52:57" ht="15.95" hidden="1" customHeight="1">
      <c r="AZ113" s="25"/>
      <c r="BA113" s="31"/>
      <c r="BD113" s="31"/>
      <c r="BE113" s="31"/>
    </row>
    <row r="114" spans="52:57" ht="15.95" hidden="1" customHeight="1">
      <c r="AZ114" s="25"/>
      <c r="BA114" s="31"/>
      <c r="BD114" s="31"/>
      <c r="BE114" s="31"/>
    </row>
    <row r="115" spans="52:57" ht="15.95" hidden="1" customHeight="1">
      <c r="AZ115" s="25"/>
      <c r="BA115" s="31"/>
      <c r="BD115" s="31"/>
      <c r="BE115" s="31"/>
    </row>
    <row r="116" spans="52:57" ht="15.95" hidden="1" customHeight="1">
      <c r="AZ116" s="25"/>
      <c r="BA116" s="31"/>
      <c r="BD116" s="31"/>
      <c r="BE116" s="31"/>
    </row>
    <row r="117" spans="52:57" ht="15.95" hidden="1" customHeight="1">
      <c r="AZ117" s="25"/>
      <c r="BA117" s="31"/>
      <c r="BD117" s="31"/>
      <c r="BE117" s="31"/>
    </row>
    <row r="118" spans="52:57" ht="15.95" hidden="1" customHeight="1">
      <c r="AZ118" s="25"/>
      <c r="BA118" s="31"/>
      <c r="BD118" s="31"/>
      <c r="BE118" s="31"/>
    </row>
    <row r="119" spans="52:57" ht="15.95" hidden="1" customHeight="1">
      <c r="AZ119" s="25"/>
      <c r="BA119" s="31"/>
      <c r="BD119" s="31"/>
      <c r="BE119" s="31"/>
    </row>
    <row r="120" spans="52:57" ht="15.95" hidden="1" customHeight="1">
      <c r="AZ120" s="25"/>
      <c r="BA120" s="31"/>
      <c r="BD120" s="31"/>
      <c r="BE120" s="31"/>
    </row>
    <row r="121" spans="52:57" ht="15.95" hidden="1" customHeight="1">
      <c r="AZ121" s="25"/>
      <c r="BA121" s="31"/>
      <c r="BD121" s="31"/>
      <c r="BE121" s="31"/>
    </row>
    <row r="122" spans="52:57" ht="15.95" hidden="1" customHeight="1">
      <c r="AZ122" s="25"/>
      <c r="BA122" s="31"/>
      <c r="BD122" s="31"/>
      <c r="BE122" s="31"/>
    </row>
    <row r="123" spans="52:57" ht="15.95" hidden="1" customHeight="1">
      <c r="AZ123" s="25"/>
      <c r="BA123" s="31"/>
      <c r="BD123" s="31"/>
      <c r="BE123" s="31"/>
    </row>
    <row r="124" spans="52:57" ht="15.95" hidden="1" customHeight="1">
      <c r="AZ124" s="25"/>
      <c r="BA124" s="31"/>
      <c r="BD124" s="31"/>
      <c r="BE124" s="31"/>
    </row>
    <row r="125" spans="52:57" ht="15.95" hidden="1" customHeight="1">
      <c r="AZ125" s="25"/>
      <c r="BA125" s="31"/>
      <c r="BD125" s="31"/>
      <c r="BE125" s="31"/>
    </row>
    <row r="126" spans="52:57" ht="15.95" hidden="1" customHeight="1">
      <c r="AZ126" s="25"/>
      <c r="BA126" s="31"/>
      <c r="BD126" s="31"/>
      <c r="BE126" s="31"/>
    </row>
    <row r="127" spans="52:57" ht="15.95" hidden="1" customHeight="1">
      <c r="AZ127" s="25"/>
      <c r="BA127" s="31"/>
      <c r="BD127" s="31"/>
      <c r="BE127" s="31"/>
    </row>
    <row r="128" spans="52:57" ht="15.95" hidden="1" customHeight="1">
      <c r="AZ128" s="25"/>
      <c r="BA128" s="31"/>
      <c r="BD128" s="31"/>
      <c r="BE128" s="31"/>
    </row>
    <row r="129" spans="52:57" ht="15.95" hidden="1" customHeight="1">
      <c r="AZ129" s="25"/>
      <c r="BA129" s="31"/>
      <c r="BD129" s="31"/>
      <c r="BE129" s="31"/>
    </row>
    <row r="130" spans="52:57" ht="15.95" hidden="1" customHeight="1">
      <c r="AZ130" s="25"/>
      <c r="BA130" s="31"/>
      <c r="BD130" s="31"/>
      <c r="BE130" s="31"/>
    </row>
    <row r="131" spans="52:57" ht="15.95" hidden="1" customHeight="1">
      <c r="AZ131" s="25"/>
      <c r="BA131" s="31"/>
      <c r="BD131" s="31"/>
      <c r="BE131" s="31"/>
    </row>
    <row r="132" spans="52:57" ht="15.95" hidden="1" customHeight="1">
      <c r="AZ132" s="25"/>
      <c r="BA132" s="31"/>
      <c r="BD132" s="31"/>
      <c r="BE132" s="31"/>
    </row>
    <row r="133" spans="52:57" ht="15.95" hidden="1" customHeight="1">
      <c r="AZ133" s="25"/>
      <c r="BA133" s="31"/>
      <c r="BD133" s="31"/>
      <c r="BE133" s="31"/>
    </row>
    <row r="134" spans="52:57" ht="15.95" hidden="1" customHeight="1">
      <c r="AZ134" s="25"/>
      <c r="BA134" s="31"/>
      <c r="BD134" s="31"/>
      <c r="BE134" s="31"/>
    </row>
    <row r="135" spans="52:57" ht="15.95" hidden="1" customHeight="1">
      <c r="AZ135" s="25"/>
      <c r="BA135" s="31"/>
      <c r="BD135" s="31"/>
      <c r="BE135" s="31"/>
    </row>
    <row r="136" spans="52:57" ht="15.95" hidden="1" customHeight="1">
      <c r="AZ136" s="25"/>
      <c r="BA136" s="31"/>
      <c r="BD136" s="31"/>
      <c r="BE136" s="31"/>
    </row>
    <row r="137" spans="52:57" ht="15.95" hidden="1" customHeight="1">
      <c r="AZ137" s="25"/>
      <c r="BA137" s="31"/>
      <c r="BD137" s="31"/>
      <c r="BE137" s="31"/>
    </row>
    <row r="138" spans="52:57" ht="15.95" hidden="1" customHeight="1">
      <c r="AZ138" s="25"/>
      <c r="BA138" s="31"/>
      <c r="BD138" s="31"/>
      <c r="BE138" s="31"/>
    </row>
    <row r="139" spans="52:57" ht="15.95" hidden="1" customHeight="1">
      <c r="AZ139" s="25"/>
      <c r="BA139" s="31"/>
      <c r="BD139" s="31"/>
      <c r="BE139" s="31"/>
    </row>
    <row r="140" spans="52:57" ht="15.95" hidden="1" customHeight="1">
      <c r="AZ140" s="25"/>
      <c r="BA140" s="31"/>
      <c r="BD140" s="31"/>
      <c r="BE140" s="31"/>
    </row>
    <row r="141" spans="52:57" ht="15.95" hidden="1" customHeight="1">
      <c r="AZ141" s="25"/>
      <c r="BA141" s="31"/>
      <c r="BD141" s="31"/>
      <c r="BE141" s="31"/>
    </row>
    <row r="142" spans="52:57" ht="15.95" hidden="1" customHeight="1">
      <c r="AZ142" s="25"/>
      <c r="BA142" s="31"/>
      <c r="BD142" s="31"/>
      <c r="BE142" s="31"/>
    </row>
    <row r="143" spans="52:57" ht="15.95" hidden="1" customHeight="1">
      <c r="AZ143" s="25"/>
      <c r="BA143" s="31"/>
      <c r="BD143" s="31"/>
      <c r="BE143" s="31"/>
    </row>
    <row r="144" spans="52:57" ht="15.95" hidden="1" customHeight="1">
      <c r="AZ144" s="25"/>
      <c r="BA144" s="31"/>
      <c r="BD144" s="31"/>
      <c r="BE144" s="31"/>
    </row>
    <row r="145" spans="52:57" ht="15.95" hidden="1" customHeight="1">
      <c r="AZ145" s="25"/>
      <c r="BA145" s="31"/>
      <c r="BD145" s="31"/>
      <c r="BE145" s="31"/>
    </row>
    <row r="146" spans="52:57" ht="15.95" hidden="1" customHeight="1">
      <c r="AZ146" s="25"/>
      <c r="BA146" s="31"/>
      <c r="BD146" s="31"/>
      <c r="BE146" s="31"/>
    </row>
    <row r="147" spans="52:57" ht="15.95" hidden="1" customHeight="1">
      <c r="AZ147" s="25"/>
      <c r="BA147" s="31"/>
      <c r="BD147" s="31"/>
      <c r="BE147" s="31"/>
    </row>
    <row r="148" spans="52:57" ht="15.95" hidden="1" customHeight="1">
      <c r="AZ148" s="25"/>
      <c r="BA148" s="31"/>
      <c r="BD148" s="31"/>
      <c r="BE148" s="31"/>
    </row>
    <row r="149" spans="52:57" ht="15.95" hidden="1" customHeight="1">
      <c r="AZ149" s="25"/>
      <c r="BA149" s="31"/>
      <c r="BD149" s="31"/>
      <c r="BE149" s="31"/>
    </row>
    <row r="150" spans="52:57" ht="15.95" hidden="1" customHeight="1">
      <c r="AZ150" s="25"/>
      <c r="BA150" s="31"/>
      <c r="BD150" s="31"/>
      <c r="BE150" s="31"/>
    </row>
    <row r="151" spans="52:57" ht="15.95" hidden="1" customHeight="1">
      <c r="AZ151" s="25"/>
      <c r="BA151" s="31"/>
      <c r="BD151" s="31"/>
      <c r="BE151" s="31"/>
    </row>
    <row r="152" spans="52:57" ht="15.95" hidden="1" customHeight="1">
      <c r="AZ152" s="25"/>
      <c r="BA152" s="31"/>
      <c r="BD152" s="31"/>
      <c r="BE152" s="31"/>
    </row>
    <row r="153" spans="52:57" ht="15.95" hidden="1" customHeight="1">
      <c r="AZ153" s="25"/>
      <c r="BA153" s="31"/>
      <c r="BD153" s="31"/>
      <c r="BE153" s="31"/>
    </row>
    <row r="154" spans="52:57" ht="15.95" hidden="1" customHeight="1">
      <c r="AZ154" s="25"/>
      <c r="BA154" s="31"/>
      <c r="BD154" s="31"/>
      <c r="BE154" s="31"/>
    </row>
    <row r="155" spans="52:57" ht="15.95" hidden="1" customHeight="1">
      <c r="AZ155" s="25"/>
      <c r="BA155" s="31"/>
      <c r="BD155" s="31"/>
      <c r="BE155" s="31"/>
    </row>
    <row r="156" spans="52:57" ht="15.95" hidden="1" customHeight="1">
      <c r="AZ156" s="25"/>
      <c r="BA156" s="31"/>
      <c r="BD156" s="31"/>
      <c r="BE156" s="31"/>
    </row>
    <row r="157" spans="52:57" ht="15.95" hidden="1" customHeight="1">
      <c r="AZ157" s="25"/>
      <c r="BA157" s="31"/>
      <c r="BD157" s="31"/>
      <c r="BE157" s="31"/>
    </row>
    <row r="158" spans="52:57" ht="15.95" hidden="1" customHeight="1">
      <c r="AZ158" s="25"/>
      <c r="BA158" s="31"/>
      <c r="BD158" s="31"/>
      <c r="BE158" s="31"/>
    </row>
    <row r="159" spans="52:57" ht="15.95" hidden="1" customHeight="1">
      <c r="AZ159" s="25"/>
      <c r="BA159" s="31"/>
      <c r="BD159" s="31"/>
      <c r="BE159" s="31"/>
    </row>
    <row r="160" spans="52:57" ht="15.95" hidden="1" customHeight="1">
      <c r="AZ160" s="25"/>
      <c r="BA160" s="31"/>
      <c r="BD160" s="31"/>
      <c r="BE160" s="31"/>
    </row>
    <row r="161" spans="52:57" ht="15.95" hidden="1" customHeight="1">
      <c r="AZ161" s="25"/>
      <c r="BA161" s="31"/>
      <c r="BD161" s="31"/>
      <c r="BE161" s="31"/>
    </row>
    <row r="162" spans="52:57" ht="15.95" hidden="1" customHeight="1">
      <c r="AZ162" s="25"/>
      <c r="BA162" s="31"/>
      <c r="BD162" s="31"/>
      <c r="BE162" s="31"/>
    </row>
    <row r="163" spans="52:57" ht="15.95" hidden="1" customHeight="1">
      <c r="AZ163" s="25"/>
      <c r="BA163" s="31"/>
      <c r="BD163" s="31"/>
      <c r="BE163" s="31"/>
    </row>
    <row r="164" spans="52:57" ht="15.95" hidden="1" customHeight="1">
      <c r="AZ164" s="25"/>
      <c r="BA164" s="31"/>
      <c r="BD164" s="31"/>
      <c r="BE164" s="31"/>
    </row>
    <row r="165" spans="52:57" ht="15.95" hidden="1" customHeight="1">
      <c r="AZ165" s="25"/>
      <c r="BA165" s="31"/>
      <c r="BD165" s="31"/>
      <c r="BE165" s="31"/>
    </row>
    <row r="166" spans="52:57" ht="15.95" hidden="1" customHeight="1">
      <c r="AZ166" s="25"/>
      <c r="BA166" s="31"/>
      <c r="BD166" s="31"/>
      <c r="BE166" s="31"/>
    </row>
    <row r="167" spans="52:57" ht="15.95" hidden="1" customHeight="1">
      <c r="AZ167" s="25"/>
      <c r="BA167" s="31"/>
      <c r="BD167" s="31"/>
      <c r="BE167" s="31"/>
    </row>
    <row r="168" spans="52:57" ht="15.95" hidden="1" customHeight="1">
      <c r="AZ168" s="25"/>
      <c r="BA168" s="31"/>
      <c r="BD168" s="31"/>
      <c r="BE168" s="31"/>
    </row>
    <row r="169" spans="52:57" ht="15.95" hidden="1" customHeight="1">
      <c r="AZ169" s="25"/>
      <c r="BA169" s="31"/>
      <c r="BD169" s="31"/>
      <c r="BE169" s="31"/>
    </row>
    <row r="170" spans="52:57" ht="15.95" hidden="1" customHeight="1">
      <c r="AZ170" s="25"/>
      <c r="BA170" s="31"/>
      <c r="BD170" s="31"/>
      <c r="BE170" s="31"/>
    </row>
    <row r="171" spans="52:57" ht="15.95" hidden="1" customHeight="1">
      <c r="AZ171" s="25"/>
      <c r="BA171" s="31"/>
      <c r="BD171" s="31"/>
      <c r="BE171" s="31"/>
    </row>
    <row r="172" spans="52:57" ht="15.95" hidden="1" customHeight="1">
      <c r="AZ172" s="25"/>
      <c r="BA172" s="31"/>
      <c r="BD172" s="31"/>
      <c r="BE172" s="31"/>
    </row>
    <row r="173" spans="52:57" ht="15.95" hidden="1" customHeight="1">
      <c r="AZ173" s="25"/>
      <c r="BA173" s="31"/>
      <c r="BD173" s="31"/>
      <c r="BE173" s="31"/>
    </row>
    <row r="174" spans="52:57" ht="15.95" hidden="1" customHeight="1">
      <c r="AZ174" s="25"/>
      <c r="BA174" s="31"/>
      <c r="BD174" s="31"/>
      <c r="BE174" s="31"/>
    </row>
    <row r="175" spans="52:57" ht="15.95" hidden="1" customHeight="1">
      <c r="AZ175" s="25"/>
      <c r="BA175" s="31"/>
      <c r="BD175" s="31"/>
      <c r="BE175" s="31"/>
    </row>
    <row r="176" spans="52:57" ht="15.95" hidden="1" customHeight="1">
      <c r="AZ176" s="25"/>
      <c r="BA176" s="31"/>
      <c r="BD176" s="31"/>
      <c r="BE176" s="31"/>
    </row>
    <row r="177" spans="52:57" ht="15.95" hidden="1" customHeight="1">
      <c r="AZ177" s="25"/>
      <c r="BA177" s="31"/>
      <c r="BD177" s="31"/>
      <c r="BE177" s="31"/>
    </row>
    <row r="178" spans="52:57" ht="15.95" hidden="1" customHeight="1">
      <c r="AZ178" s="25"/>
      <c r="BA178" s="31"/>
      <c r="BD178" s="31"/>
      <c r="BE178" s="31"/>
    </row>
    <row r="179" spans="52:57" ht="15.95" hidden="1" customHeight="1">
      <c r="AZ179" s="25"/>
      <c r="BA179" s="31"/>
      <c r="BD179" s="31"/>
      <c r="BE179" s="31"/>
    </row>
    <row r="180" spans="52:57" ht="15.95" hidden="1" customHeight="1">
      <c r="AZ180" s="25"/>
      <c r="BA180" s="31"/>
      <c r="BD180" s="31"/>
      <c r="BE180" s="31"/>
    </row>
    <row r="181" spans="52:57" ht="15.95" hidden="1" customHeight="1">
      <c r="AZ181" s="25"/>
      <c r="BA181" s="31"/>
      <c r="BD181" s="31"/>
      <c r="BE181" s="31"/>
    </row>
    <row r="182" spans="52:57" ht="15.95" hidden="1" customHeight="1">
      <c r="AZ182" s="25"/>
      <c r="BA182" s="31"/>
      <c r="BD182" s="31"/>
      <c r="BE182" s="31"/>
    </row>
    <row r="183" spans="52:57" ht="15.95" hidden="1" customHeight="1">
      <c r="AZ183" s="25"/>
      <c r="BA183" s="31"/>
      <c r="BD183" s="31"/>
      <c r="BE183" s="31"/>
    </row>
    <row r="184" spans="52:57" ht="15.95" hidden="1" customHeight="1">
      <c r="AZ184" s="25"/>
      <c r="BA184" s="31"/>
      <c r="BD184" s="31"/>
      <c r="BE184" s="31"/>
    </row>
    <row r="185" spans="52:57" ht="15.95" hidden="1" customHeight="1">
      <c r="AZ185" s="25"/>
      <c r="BA185" s="31"/>
      <c r="BD185" s="31"/>
      <c r="BE185" s="31"/>
    </row>
    <row r="186" spans="52:57" ht="15.95" hidden="1" customHeight="1">
      <c r="AZ186" s="25"/>
      <c r="BA186" s="31"/>
      <c r="BD186" s="31"/>
      <c r="BE186" s="31"/>
    </row>
    <row r="187" spans="52:57" ht="15.95" hidden="1" customHeight="1">
      <c r="AZ187" s="25"/>
      <c r="BA187" s="31"/>
      <c r="BD187" s="31"/>
      <c r="BE187" s="31"/>
    </row>
    <row r="188" spans="52:57" ht="15.95" hidden="1" customHeight="1">
      <c r="AZ188" s="25"/>
      <c r="BA188" s="31"/>
      <c r="BD188" s="31"/>
      <c r="BE188" s="31"/>
    </row>
    <row r="189" spans="52:57" ht="15.95" hidden="1" customHeight="1">
      <c r="AZ189" s="25"/>
      <c r="BA189" s="31"/>
      <c r="BD189" s="31"/>
      <c r="BE189" s="31"/>
    </row>
    <row r="190" spans="52:57" ht="15.95" hidden="1" customHeight="1">
      <c r="AZ190" s="25"/>
      <c r="BA190" s="31"/>
      <c r="BD190" s="31"/>
      <c r="BE190" s="31"/>
    </row>
    <row r="191" spans="52:57" ht="15.95" hidden="1" customHeight="1">
      <c r="AZ191" s="25"/>
      <c r="BA191" s="31"/>
      <c r="BD191" s="31"/>
      <c r="BE191" s="31"/>
    </row>
    <row r="192" spans="52:57" ht="15.95" hidden="1" customHeight="1">
      <c r="AZ192" s="25"/>
      <c r="BA192" s="31"/>
      <c r="BD192" s="31"/>
      <c r="BE192" s="31"/>
    </row>
    <row r="193" spans="1:61" ht="15.95" hidden="1" customHeight="1">
      <c r="AZ193" s="25"/>
      <c r="BA193" s="31"/>
      <c r="BD193" s="31"/>
      <c r="BE193" s="31"/>
    </row>
    <row r="194" spans="1:61" ht="15.95" hidden="1" customHeight="1">
      <c r="AZ194" s="25"/>
      <c r="BA194" s="31"/>
      <c r="BD194" s="31"/>
      <c r="BE194" s="31"/>
    </row>
    <row r="195" spans="1:61" ht="15.95" hidden="1" customHeight="1">
      <c r="AZ195" s="25"/>
      <c r="BA195" s="31"/>
      <c r="BD195" s="31"/>
      <c r="BE195" s="31"/>
    </row>
    <row r="196" spans="1:61" ht="15.95" hidden="1" customHeight="1">
      <c r="AZ196" s="25"/>
      <c r="BA196" s="31"/>
      <c r="BD196" s="31"/>
      <c r="BE196" s="31"/>
    </row>
    <row r="197" spans="1:61" ht="15.95" hidden="1" customHeight="1">
      <c r="AZ197" s="25"/>
      <c r="BA197" s="31"/>
      <c r="BD197" s="31"/>
      <c r="BE197" s="31"/>
    </row>
    <row r="198" spans="1:61" ht="15.95" hidden="1" customHeight="1">
      <c r="AZ198" s="25"/>
      <c r="BA198" s="31"/>
      <c r="BD198" s="31"/>
      <c r="BE198" s="31"/>
    </row>
    <row r="199" spans="1:61" ht="15.95" hidden="1" customHeight="1">
      <c r="AZ199" s="25"/>
      <c r="BA199" s="31"/>
      <c r="BD199" s="31"/>
      <c r="BE199" s="31"/>
    </row>
    <row r="200" spans="1:61"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c r="BB200" s="1066">
        <f>IF(OR(COUNTIF(BB18:BC37,"Missing!")&gt;0,COUNTIF(BB18:BC37,0)&gt;0,IF(2*COUNTBLANK(AK18:AK37)=COUNTBLANK(BB18:BC37),0,1)&gt;0),"Missing Units on Custom Refrigeration. ",SUM(BB18:BB37))</f>
        <v>0</v>
      </c>
      <c r="BC200" s="838">
        <f>SUM(BC18:BC37)</f>
        <v>0</v>
      </c>
      <c r="BD200" s="838">
        <f>SUM(BD18:BD37)</f>
        <v>0</v>
      </c>
      <c r="BE200" s="838">
        <f>SUM(BE18:BE37)</f>
        <v>0</v>
      </c>
      <c r="BH200" s="1065">
        <f>SUM(BH18:BH37)</f>
        <v>0</v>
      </c>
      <c r="BI200" s="1065">
        <f>SUM(BI18:BI37)</f>
        <v>0</v>
      </c>
    </row>
    <row r="201" spans="1:61"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c r="BB201" s="1066"/>
      <c r="BC201" s="838"/>
      <c r="BD201" s="838"/>
      <c r="BE201" s="838"/>
      <c r="BH201" s="837"/>
      <c r="BI201" s="837"/>
    </row>
    <row r="202" spans="1:61"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61" ht="15.95" hidden="1" customHeight="1"/>
    <row r="204" spans="1:61" ht="15.95" hidden="1" customHeight="1"/>
  </sheetData>
  <sheetProtection algorithmName="SHA-512" hashValue="MAw/XY8gl2L3OcARf+s+CcFZfvfV2pUzUuvw1WxNaJbC2aRJ0+U0N3iBUfxPsI3lBjIIzZanZLkNcOldJUcwrg==" saltValue="LfDd6+ueIJRG/AYpifo+xA==" spinCount="100000" sheet="1" objects="1" scenarios="1" selectLockedCells="1"/>
  <mergeCells count="388">
    <mergeCell ref="AN22:AQ23"/>
    <mergeCell ref="AH22:AJ23"/>
    <mergeCell ref="AK22:AM23"/>
    <mergeCell ref="R14:U14"/>
    <mergeCell ref="V14:Y14"/>
    <mergeCell ref="Z14:AC14"/>
    <mergeCell ref="L28:P29"/>
    <mergeCell ref="Q28:S29"/>
    <mergeCell ref="AE20:AG21"/>
    <mergeCell ref="AE22:AG23"/>
    <mergeCell ref="AE24:AG25"/>
    <mergeCell ref="AE26:AG27"/>
    <mergeCell ref="AE28:AG29"/>
    <mergeCell ref="AE30:AG31"/>
    <mergeCell ref="AE32:AG33"/>
    <mergeCell ref="T26:X27"/>
    <mergeCell ref="Y26:AA27"/>
    <mergeCell ref="L20:P21"/>
    <mergeCell ref="Q20:S21"/>
    <mergeCell ref="L22:P23"/>
    <mergeCell ref="Q22:S23"/>
    <mergeCell ref="L24:P25"/>
    <mergeCell ref="Q24:S25"/>
    <mergeCell ref="L26:P27"/>
    <mergeCell ref="Q26:S27"/>
    <mergeCell ref="T20:X21"/>
    <mergeCell ref="Y20:AA21"/>
    <mergeCell ref="T22:X23"/>
    <mergeCell ref="Y22:AA23"/>
    <mergeCell ref="T24:X25"/>
    <mergeCell ref="Y24:AA25"/>
    <mergeCell ref="A8:E8"/>
    <mergeCell ref="AQ8:AU8"/>
    <mergeCell ref="AB18:AD19"/>
    <mergeCell ref="AB16:AD17"/>
    <mergeCell ref="AE16:AG17"/>
    <mergeCell ref="AE18:AG19"/>
    <mergeCell ref="AB20:AD21"/>
    <mergeCell ref="AB22:AD23"/>
    <mergeCell ref="AB24:AD25"/>
    <mergeCell ref="C18:K19"/>
    <mergeCell ref="C16:K17"/>
    <mergeCell ref="C20:K21"/>
    <mergeCell ref="C22:K23"/>
    <mergeCell ref="C24:K25"/>
    <mergeCell ref="AH24:AJ25"/>
    <mergeCell ref="AK24:AM25"/>
    <mergeCell ref="AN24:AQ25"/>
    <mergeCell ref="AK20:AM21"/>
    <mergeCell ref="AN20:AQ21"/>
    <mergeCell ref="AH20:AJ21"/>
    <mergeCell ref="AN16:AQ17"/>
    <mergeCell ref="B24:B25"/>
    <mergeCell ref="T18:X19"/>
    <mergeCell ref="Y18:AA19"/>
    <mergeCell ref="F1:I3"/>
    <mergeCell ref="J1:M3"/>
    <mergeCell ref="O1:AE3"/>
    <mergeCell ref="AL1:AO3"/>
    <mergeCell ref="AP1:AS3"/>
    <mergeCell ref="A5:E6"/>
    <mergeCell ref="AQ5:AU6"/>
    <mergeCell ref="A7:E7"/>
    <mergeCell ref="AQ7:AU7"/>
    <mergeCell ref="AT1:AW3"/>
    <mergeCell ref="B46:B47"/>
    <mergeCell ref="M200:AG201"/>
    <mergeCell ref="BD200:BD201"/>
    <mergeCell ref="BE200:BE201"/>
    <mergeCell ref="BH200:BH201"/>
    <mergeCell ref="B38:B39"/>
    <mergeCell ref="B40:B41"/>
    <mergeCell ref="B42:B43"/>
    <mergeCell ref="B44:B45"/>
    <mergeCell ref="BB200:BB201"/>
    <mergeCell ref="BC200:BC201"/>
    <mergeCell ref="AN36:AQ37"/>
    <mergeCell ref="B34:B35"/>
    <mergeCell ref="AK36:AM37"/>
    <mergeCell ref="AH36:AJ37"/>
    <mergeCell ref="B36:B37"/>
    <mergeCell ref="C34:K35"/>
    <mergeCell ref="C36:K37"/>
    <mergeCell ref="AB34:AD35"/>
    <mergeCell ref="AB36:AD37"/>
    <mergeCell ref="L34:P35"/>
    <mergeCell ref="Q34:S35"/>
    <mergeCell ref="L36:P37"/>
    <mergeCell ref="Q36:S37"/>
    <mergeCell ref="T34:X35"/>
    <mergeCell ref="Y34:AA35"/>
    <mergeCell ref="T36:X37"/>
    <mergeCell ref="Y36:AA37"/>
    <mergeCell ref="AE34:AG35"/>
    <mergeCell ref="AE36:AG37"/>
    <mergeCell ref="AH32:AJ33"/>
    <mergeCell ref="AK32:AM33"/>
    <mergeCell ref="AN32:AQ33"/>
    <mergeCell ref="AN34:AQ35"/>
    <mergeCell ref="B32:B33"/>
    <mergeCell ref="AH34:AJ35"/>
    <mergeCell ref="AK34:AM35"/>
    <mergeCell ref="C32:K33"/>
    <mergeCell ref="AB32:AD33"/>
    <mergeCell ref="L32:P33"/>
    <mergeCell ref="Q32:S33"/>
    <mergeCell ref="T32:X33"/>
    <mergeCell ref="Y32:AA33"/>
    <mergeCell ref="AN30:AQ31"/>
    <mergeCell ref="AH30:AJ31"/>
    <mergeCell ref="AK30:AM31"/>
    <mergeCell ref="AB30:AD31"/>
    <mergeCell ref="B30:B31"/>
    <mergeCell ref="C30:K31"/>
    <mergeCell ref="B26:B27"/>
    <mergeCell ref="AK28:AM29"/>
    <mergeCell ref="AN28:AQ29"/>
    <mergeCell ref="AH28:AJ29"/>
    <mergeCell ref="AB28:AD29"/>
    <mergeCell ref="B28:B29"/>
    <mergeCell ref="C26:K27"/>
    <mergeCell ref="C28:K29"/>
    <mergeCell ref="AN26:AQ27"/>
    <mergeCell ref="AH26:AJ27"/>
    <mergeCell ref="AK26:AM27"/>
    <mergeCell ref="AB26:AD27"/>
    <mergeCell ref="L30:P31"/>
    <mergeCell ref="Q30:S31"/>
    <mergeCell ref="T28:X29"/>
    <mergeCell ref="Y28:AA29"/>
    <mergeCell ref="T30:X31"/>
    <mergeCell ref="Y30:AA31"/>
    <mergeCell ref="B22:B23"/>
    <mergeCell ref="BP18:BP19"/>
    <mergeCell ref="BQ18:BQ19"/>
    <mergeCell ref="BR18:BR19"/>
    <mergeCell ref="B20:B21"/>
    <mergeCell ref="BJ18:BJ19"/>
    <mergeCell ref="BK18:BK19"/>
    <mergeCell ref="BL18:BL19"/>
    <mergeCell ref="BM18:BM19"/>
    <mergeCell ref="BN18:BN19"/>
    <mergeCell ref="BO18:BO19"/>
    <mergeCell ref="BD18:BD19"/>
    <mergeCell ref="BE18:BE19"/>
    <mergeCell ref="BF18:BF19"/>
    <mergeCell ref="BG18:BG19"/>
    <mergeCell ref="BH18:BH19"/>
    <mergeCell ref="BI18:BI19"/>
    <mergeCell ref="AH18:AJ19"/>
    <mergeCell ref="AK18:AM19"/>
    <mergeCell ref="AN18:AQ19"/>
    <mergeCell ref="AY18:AY19"/>
    <mergeCell ref="AZ18:AZ19"/>
    <mergeCell ref="BA18:BA19"/>
    <mergeCell ref="AY20:AY21"/>
    <mergeCell ref="BQ16:BQ17"/>
    <mergeCell ref="BR16:BR17"/>
    <mergeCell ref="B18:B19"/>
    <mergeCell ref="BK16:BK17"/>
    <mergeCell ref="BL16:BL17"/>
    <mergeCell ref="BM16:BM17"/>
    <mergeCell ref="BN16:BN17"/>
    <mergeCell ref="BO16:BO17"/>
    <mergeCell ref="BP16:BP17"/>
    <mergeCell ref="BE16:BE17"/>
    <mergeCell ref="BF16:BF17"/>
    <mergeCell ref="BG16:BG17"/>
    <mergeCell ref="BH16:BH17"/>
    <mergeCell ref="BI16:BI17"/>
    <mergeCell ref="BJ16:BJ17"/>
    <mergeCell ref="AK16:AM17"/>
    <mergeCell ref="AZ16:AZ17"/>
    <mergeCell ref="BA16:BA17"/>
    <mergeCell ref="BD16:BD17"/>
    <mergeCell ref="AH16:AJ17"/>
    <mergeCell ref="BB18:BB19"/>
    <mergeCell ref="BC18:BC19"/>
    <mergeCell ref="L18:P19"/>
    <mergeCell ref="Q18:S19"/>
    <mergeCell ref="BB16:BB17"/>
    <mergeCell ref="BC16:BC17"/>
    <mergeCell ref="Q16:S17"/>
    <mergeCell ref="T16:X17"/>
    <mergeCell ref="Y16:AA17"/>
    <mergeCell ref="G9:J11"/>
    <mergeCell ref="K9:N11"/>
    <mergeCell ref="O9:R11"/>
    <mergeCell ref="AY16:AY17"/>
    <mergeCell ref="S9:V11"/>
    <mergeCell ref="W9:Z11"/>
    <mergeCell ref="AA9:AD11"/>
    <mergeCell ref="R12:U13"/>
    <mergeCell ref="V12:Y13"/>
    <mergeCell ref="Z12:AC13"/>
    <mergeCell ref="L16:P17"/>
    <mergeCell ref="AI13:AQ14"/>
    <mergeCell ref="AZ20:AZ21"/>
    <mergeCell ref="BA20:BA21"/>
    <mergeCell ref="BD20:BD21"/>
    <mergeCell ref="BE20:BE21"/>
    <mergeCell ref="BF20:BF21"/>
    <mergeCell ref="BG20:BG21"/>
    <mergeCell ref="BH20:BH21"/>
    <mergeCell ref="BI20:BI21"/>
    <mergeCell ref="BB20:BB21"/>
    <mergeCell ref="BC20:BC21"/>
    <mergeCell ref="BJ20:BJ21"/>
    <mergeCell ref="BK20:BK21"/>
    <mergeCell ref="BL20:BL21"/>
    <mergeCell ref="BM20:BM21"/>
    <mergeCell ref="BN20:BN21"/>
    <mergeCell ref="BO20:BO21"/>
    <mergeCell ref="BP20:BP21"/>
    <mergeCell ref="BQ20:BQ21"/>
    <mergeCell ref="BR20:BR21"/>
    <mergeCell ref="AY22:AY23"/>
    <mergeCell ref="AZ22:AZ23"/>
    <mergeCell ref="BA22:BA23"/>
    <mergeCell ref="BD22:BD23"/>
    <mergeCell ref="BE22:BE23"/>
    <mergeCell ref="BF22:BF23"/>
    <mergeCell ref="BG22:BG23"/>
    <mergeCell ref="BH22:BH23"/>
    <mergeCell ref="BI22:BI23"/>
    <mergeCell ref="BB22:BB23"/>
    <mergeCell ref="BC22:BC23"/>
    <mergeCell ref="BJ22:BJ23"/>
    <mergeCell ref="BK22:BK23"/>
    <mergeCell ref="BL22:BL23"/>
    <mergeCell ref="BM22:BM23"/>
    <mergeCell ref="BN22:BN23"/>
    <mergeCell ref="BO22:BO23"/>
    <mergeCell ref="BP22:BP23"/>
    <mergeCell ref="BQ22:BQ23"/>
    <mergeCell ref="BR22:BR23"/>
    <mergeCell ref="AY24:AY25"/>
    <mergeCell ref="AZ24:AZ25"/>
    <mergeCell ref="BA24:BA25"/>
    <mergeCell ref="BD24:BD25"/>
    <mergeCell ref="BE24:BE25"/>
    <mergeCell ref="BF24:BF25"/>
    <mergeCell ref="BG24:BG25"/>
    <mergeCell ref="BH24:BH25"/>
    <mergeCell ref="BI24:BI25"/>
    <mergeCell ref="BB24:BB25"/>
    <mergeCell ref="BC24:BC25"/>
    <mergeCell ref="BJ24:BJ25"/>
    <mergeCell ref="BK24:BK25"/>
    <mergeCell ref="BL24:BL25"/>
    <mergeCell ref="BM24:BM25"/>
    <mergeCell ref="BN24:BN25"/>
    <mergeCell ref="BO24:BO25"/>
    <mergeCell ref="BP24:BP25"/>
    <mergeCell ref="BQ24:BQ25"/>
    <mergeCell ref="BR24:BR25"/>
    <mergeCell ref="AY26:AY27"/>
    <mergeCell ref="AZ26:AZ27"/>
    <mergeCell ref="BA26:BA27"/>
    <mergeCell ref="BD26:BD27"/>
    <mergeCell ref="BE26:BE27"/>
    <mergeCell ref="BF26:BF27"/>
    <mergeCell ref="BG26:BG27"/>
    <mergeCell ref="BH26:BH27"/>
    <mergeCell ref="BI26:BI27"/>
    <mergeCell ref="BB26:BB27"/>
    <mergeCell ref="BC26:BC27"/>
    <mergeCell ref="BJ26:BJ27"/>
    <mergeCell ref="BK26:BK27"/>
    <mergeCell ref="BL26:BL27"/>
    <mergeCell ref="BM26:BM27"/>
    <mergeCell ref="BN26:BN27"/>
    <mergeCell ref="BO26:BO27"/>
    <mergeCell ref="BP26:BP27"/>
    <mergeCell ref="BQ26:BQ27"/>
    <mergeCell ref="BR26:BR27"/>
    <mergeCell ref="AY28:AY29"/>
    <mergeCell ref="AZ28:AZ29"/>
    <mergeCell ref="BA28:BA29"/>
    <mergeCell ref="BD28:BD29"/>
    <mergeCell ref="BE28:BE29"/>
    <mergeCell ref="BF28:BF29"/>
    <mergeCell ref="BG28:BG29"/>
    <mergeCell ref="BH28:BH29"/>
    <mergeCell ref="BI28:BI29"/>
    <mergeCell ref="BB28:BB29"/>
    <mergeCell ref="BC28:BC29"/>
    <mergeCell ref="BJ28:BJ29"/>
    <mergeCell ref="BK28:BK29"/>
    <mergeCell ref="BL28:BL29"/>
    <mergeCell ref="BM28:BM29"/>
    <mergeCell ref="BN28:BN29"/>
    <mergeCell ref="BO28:BO29"/>
    <mergeCell ref="BP28:BP29"/>
    <mergeCell ref="BQ28:BQ29"/>
    <mergeCell ref="BR28:BR29"/>
    <mergeCell ref="AY30:AY31"/>
    <mergeCell ref="AZ30:AZ31"/>
    <mergeCell ref="BA30:BA31"/>
    <mergeCell ref="BD30:BD31"/>
    <mergeCell ref="BE30:BE31"/>
    <mergeCell ref="BF30:BF31"/>
    <mergeCell ref="BG30:BG31"/>
    <mergeCell ref="BH30:BH31"/>
    <mergeCell ref="BI30:BI31"/>
    <mergeCell ref="BB30:BB31"/>
    <mergeCell ref="BC30:BC31"/>
    <mergeCell ref="BJ30:BJ31"/>
    <mergeCell ref="BK30:BK31"/>
    <mergeCell ref="BL30:BL31"/>
    <mergeCell ref="BM30:BM31"/>
    <mergeCell ref="BN30:BN31"/>
    <mergeCell ref="BO30:BO31"/>
    <mergeCell ref="BP30:BP31"/>
    <mergeCell ref="BQ30:BQ31"/>
    <mergeCell ref="BR30:BR31"/>
    <mergeCell ref="AY32:AY33"/>
    <mergeCell ref="AZ32:AZ33"/>
    <mergeCell ref="BA32:BA33"/>
    <mergeCell ref="BD32:BD33"/>
    <mergeCell ref="BE32:BE33"/>
    <mergeCell ref="BF32:BF33"/>
    <mergeCell ref="BG32:BG33"/>
    <mergeCell ref="BH32:BH33"/>
    <mergeCell ref="BI32:BI33"/>
    <mergeCell ref="BB32:BB33"/>
    <mergeCell ref="BC32:BC33"/>
    <mergeCell ref="BJ32:BJ33"/>
    <mergeCell ref="BK32:BK33"/>
    <mergeCell ref="BL32:BL33"/>
    <mergeCell ref="BM32:BM33"/>
    <mergeCell ref="BN32:BN33"/>
    <mergeCell ref="BO32:BO33"/>
    <mergeCell ref="BP32:BP33"/>
    <mergeCell ref="BQ32:BQ33"/>
    <mergeCell ref="BR32:BR33"/>
    <mergeCell ref="BM34:BM35"/>
    <mergeCell ref="BN34:BN35"/>
    <mergeCell ref="BO34:BO35"/>
    <mergeCell ref="BP34:BP35"/>
    <mergeCell ref="BQ34:BQ35"/>
    <mergeCell ref="BR34:BR35"/>
    <mergeCell ref="AY34:AY35"/>
    <mergeCell ref="AZ34:AZ35"/>
    <mergeCell ref="BA34:BA35"/>
    <mergeCell ref="BD34:BD35"/>
    <mergeCell ref="BE34:BE35"/>
    <mergeCell ref="BF34:BF35"/>
    <mergeCell ref="BG34:BG35"/>
    <mergeCell ref="BH34:BH35"/>
    <mergeCell ref="BI34:BI35"/>
    <mergeCell ref="BB34:BB35"/>
    <mergeCell ref="BC34:BC35"/>
    <mergeCell ref="AY36:AY37"/>
    <mergeCell ref="AZ36:AZ37"/>
    <mergeCell ref="BA36:BA37"/>
    <mergeCell ref="BD36:BD37"/>
    <mergeCell ref="BE36:BE37"/>
    <mergeCell ref="BF36:BF37"/>
    <mergeCell ref="BG36:BG37"/>
    <mergeCell ref="BH36:BH37"/>
    <mergeCell ref="BI36:BI37"/>
    <mergeCell ref="BB36:BB37"/>
    <mergeCell ref="BC36:BC37"/>
    <mergeCell ref="BI200:BI201"/>
    <mergeCell ref="BS34:BS35"/>
    <mergeCell ref="BS36:BS37"/>
    <mergeCell ref="BS16:BS17"/>
    <mergeCell ref="BS18:BS19"/>
    <mergeCell ref="BS20:BS21"/>
    <mergeCell ref="BS22:BS23"/>
    <mergeCell ref="BS24:BS25"/>
    <mergeCell ref="BS26:BS27"/>
    <mergeCell ref="BS28:BS29"/>
    <mergeCell ref="BS30:BS31"/>
    <mergeCell ref="BS32:BS33"/>
    <mergeCell ref="BJ36:BJ37"/>
    <mergeCell ref="BK36:BK37"/>
    <mergeCell ref="BL36:BL37"/>
    <mergeCell ref="BM36:BM37"/>
    <mergeCell ref="BN36:BN37"/>
    <mergeCell ref="BO36:BO37"/>
    <mergeCell ref="BP36:BP37"/>
    <mergeCell ref="BQ36:BQ37"/>
    <mergeCell ref="BR36:BR37"/>
    <mergeCell ref="BJ34:BJ35"/>
    <mergeCell ref="BK34:BK35"/>
    <mergeCell ref="BL34:BL35"/>
  </mergeCells>
  <conditionalFormatting sqref="C18:L18 Q18 AB18:AG37 C19:K19 C20:L20 Q20 C21:K37">
    <cfRule type="expression" dxfId="75" priority="825">
      <formula>IF(AND($C18&lt;&gt;"",OR(ISBLANK(C18)=TRUE,C18="")),TRUE,FALSE)</formula>
    </cfRule>
  </conditionalFormatting>
  <conditionalFormatting sqref="L22 Q22 L24 Q24 L26 Q26 L28 Q28 L30 Q30 L32 Q32 L34 Q34 L36 Q36">
    <cfRule type="expression" dxfId="74" priority="5">
      <formula>IF(AND($C22&lt;&gt;"",OR(ISBLANK(L22)=TRUE,L22="")),TRUE,FALSE)</formula>
    </cfRule>
  </conditionalFormatting>
  <conditionalFormatting sqref="T18 Y18 T20 Y20">
    <cfRule type="expression" dxfId="73" priority="4">
      <formula>IF(AND($C18&lt;&gt;"",OR(ISBLANK(T18)=TRUE,T18="")),TRUE,FALSE)</formula>
    </cfRule>
  </conditionalFormatting>
  <conditionalFormatting sqref="T22 Y22 T24 Y24 T26 Y26 T28 Y28 T30 Y30 T32 Y32 T34 Y34 T36 Y36">
    <cfRule type="expression" dxfId="72" priority="3">
      <formula>IF(AND($C22&lt;&gt;"",OR(ISBLANK(T22)=TRUE,T22="")),TRUE,FALSE)</formula>
    </cfRule>
  </conditionalFormatting>
  <conditionalFormatting sqref="AN18:AQ37">
    <cfRule type="expression" dxfId="71" priority="1" stopIfTrue="1">
      <formula>ISNUMBER($AN18)=FALSE</formula>
    </cfRule>
    <cfRule type="expression" dxfId="70" priority="7">
      <formula>$AN18 &lt;&gt; $BJ18</formula>
    </cfRule>
  </conditionalFormatting>
  <conditionalFormatting sqref="AQ8:AW8">
    <cfRule type="expression" dxfId="69" priority="1682">
      <formula>IF($AQ$8=PROJSTATMEASURE,FALSE,TRUE)</formula>
    </cfRule>
  </conditionalFormatting>
  <conditionalFormatting sqref="BB18:BC37 BI18:BI37">
    <cfRule type="expression" dxfId="68" priority="2">
      <formula>IF(AND(ISNUMBER($AK18),OR(BB18="Missing!",BB18="")),TRUE,FALSE)</formula>
    </cfRule>
  </conditionalFormatting>
  <dataValidations count="6">
    <dataValidation type="decimal" allowBlank="1" showInputMessage="1" showErrorMessage="1" sqref="P22:P37 X18:X37" xr:uid="{EE814565-8856-490E-BF4B-8B60003A5033}">
      <formula1>0</formula1>
      <formula2>999999</formula2>
    </dataValidation>
    <dataValidation type="list" allowBlank="1" showInputMessage="1" sqref="BG18:BG37" xr:uid="{7881EB9D-3A2E-433D-A589-A13E28D42669}">
      <formula1>ENDUSECAT</formula1>
    </dataValidation>
    <dataValidation type="decimal" allowBlank="1" showInputMessage="1" showErrorMessage="1" prompt="Input the total cost of the Efficient Equipment" sqref="AE18:AG37" xr:uid="{D9ED5A3D-4D30-435C-A97C-344E4C5BDBA4}">
      <formula1>AB18</formula1>
      <formula2>999999999</formula2>
    </dataValidation>
    <dataValidation type="decimal" allowBlank="1" showInputMessage="1" showErrorMessage="1" prompt="Input the total cost of the Baseline Equipment" sqref="AB18:AD37" xr:uid="{3940C171-FB2D-4B35-BFE6-0B0920F60BBF}">
      <formula1>0</formula1>
      <formula2>999999999</formula2>
    </dataValidation>
    <dataValidation type="list" allowBlank="1" showInputMessage="1" showErrorMessage="1" sqref="C18:K37" xr:uid="{1988100A-1653-43D1-AF42-E6EB2BB4E16C}">
      <formula1>CMEREFRILIST_N</formula1>
    </dataValidation>
    <dataValidation type="whole" operator="greaterThanOrEqual" allowBlank="1" showInputMessage="1" showErrorMessage="1" errorTitle="Invalid Entry" error="Value must be a whole number." sqref="Q18:S37 Y18:AA37" xr:uid="{3CDBAE39-B30A-49A3-BFD9-DD685688A772}">
      <formula1>0</formula1>
    </dataValidation>
  </dataValidations>
  <hyperlinks>
    <hyperlink ref="G9:J11" location="'M03-S04'!C18" tooltip="Refrigeration" display="'M03-S04'!C18" xr:uid="{4271154E-DBDD-4FDA-BBBB-6CAAC0FA8FD2}"/>
    <hyperlink ref="K9:N11" location="'M03-S05'!C18" tooltip="HVAC" display="'M03-S05'!C18" xr:uid="{B2CC4F5F-DABC-47AF-AD95-5E3C00F93A5E}"/>
    <hyperlink ref="S9:V11" location="'M03-S06'!C18" tooltip="Compressed Air / Process" display="'M03-S06'!C18" xr:uid="{2074458E-5C23-458F-BE1F-8D13F7F86B2D}"/>
    <hyperlink ref="W9:Z11" location="'M03-S07'!C18" tooltip="Water Heating / Cooking" display="'M03-S07'!C18" xr:uid="{631CADD8-019D-487E-9835-ECA8A0164DF0}"/>
    <hyperlink ref="O9:R11" location="'M03-S08'!C18" tooltip="Motors and Drives" display="'M03-S08'!C18" xr:uid="{46AF3763-6FD3-4F2B-97C9-55DD86427920}"/>
    <hyperlink ref="AA9:AD11" location="'M04-S09'!C18" tooltip="Miscellaneous" display="'M04-S09'!C18" xr:uid="{94EC865A-65BD-40E6-A1E8-2FA2B2DAB721}"/>
    <hyperlink ref="B202" r:id="rId1" display="businessrebates@evergy.com" xr:uid="{FC24AF98-2555-4857-9608-C0B9356DD486}"/>
  </hyperlinks>
  <printOptions horizontalCentered="1"/>
  <pageMargins left="0" right="0" top="0" bottom="0" header="0" footer="0"/>
  <pageSetup scale="4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rgb="FFFFFF00"/>
  </sheetPr>
  <dimension ref="A1:BK518"/>
  <sheetViews>
    <sheetView topLeftCell="Q10" zoomScale="85" zoomScaleNormal="85" workbookViewId="0">
      <selection activeCell="AC66" sqref="AC66"/>
    </sheetView>
  </sheetViews>
  <sheetFormatPr defaultColWidth="4.7109375" defaultRowHeight="15"/>
  <cols>
    <col min="1" max="1" width="39.140625" bestFit="1" customWidth="1"/>
    <col min="2" max="2" width="4.7109375" customWidth="1"/>
    <col min="3" max="3" width="36.85546875" customWidth="1"/>
    <col min="4" max="4" width="53.5703125" customWidth="1"/>
    <col min="5" max="5" width="4.7109375" customWidth="1"/>
    <col min="6" max="6" width="28.7109375" bestFit="1" customWidth="1"/>
    <col min="7" max="7" width="38.28515625" bestFit="1" customWidth="1"/>
    <col min="8" max="8" width="28" bestFit="1" customWidth="1"/>
    <col min="9" max="9" width="5.7109375" customWidth="1"/>
    <col min="10" max="10" width="15.5703125" bestFit="1" customWidth="1"/>
    <col min="11" max="11" width="12.28515625" bestFit="1" customWidth="1"/>
    <col min="12" max="12" width="11.85546875" bestFit="1" customWidth="1"/>
    <col min="13" max="13" width="11.7109375" bestFit="1" customWidth="1"/>
    <col min="14" max="14" width="5.7109375" customWidth="1"/>
    <col min="15" max="15" width="26.42578125" customWidth="1"/>
    <col min="16" max="16" width="22.85546875" customWidth="1"/>
    <col min="17" max="17" width="29.42578125" customWidth="1"/>
    <col min="18" max="18" width="11.28515625" customWidth="1"/>
    <col min="19" max="19" width="17" bestFit="1" customWidth="1"/>
    <col min="20" max="20" width="6" customWidth="1"/>
    <col min="21" max="21" width="42.7109375" customWidth="1"/>
    <col min="22" max="22" width="30.28515625" customWidth="1"/>
    <col min="23" max="23" width="13.85546875" customWidth="1"/>
    <col min="24" max="24" width="16.28515625" customWidth="1"/>
    <col min="25" max="25" width="22.140625" customWidth="1"/>
    <col min="26" max="26" width="28.7109375" customWidth="1"/>
    <col min="27" max="27" width="6" customWidth="1"/>
    <col min="28" max="28" width="11.28515625" bestFit="1" customWidth="1"/>
    <col min="29" max="29" width="22.7109375" bestFit="1" customWidth="1"/>
    <col min="30" max="30" width="14.85546875" bestFit="1" customWidth="1"/>
    <col min="31" max="31" width="9.85546875" bestFit="1" customWidth="1"/>
    <col min="32" max="32" width="18" bestFit="1" customWidth="1"/>
    <col min="33" max="33" width="11.140625" bestFit="1" customWidth="1"/>
    <col min="34" max="34" width="7.5703125" bestFit="1" customWidth="1"/>
    <col min="35" max="35" width="22.7109375" bestFit="1" customWidth="1"/>
    <col min="36" max="36" width="9" bestFit="1" customWidth="1"/>
    <col min="37" max="37" width="7" customWidth="1"/>
    <col min="38" max="38" width="10.42578125" bestFit="1" customWidth="1"/>
    <col min="39" max="40" width="11.140625" bestFit="1" customWidth="1"/>
    <col min="41" max="41" width="9.42578125" bestFit="1" customWidth="1"/>
    <col min="42" max="42" width="10.42578125" bestFit="1" customWidth="1"/>
    <col min="43" max="44" width="12.140625" bestFit="1" customWidth="1"/>
    <col min="45" max="45" width="10.42578125" bestFit="1" customWidth="1"/>
    <col min="46" max="46" width="4.7109375" customWidth="1"/>
    <col min="47" max="47" width="32.7109375" bestFit="1" customWidth="1"/>
    <col min="48" max="48" width="11.85546875" bestFit="1" customWidth="1"/>
    <col min="49" max="49" width="10.5703125" bestFit="1" customWidth="1"/>
    <col min="50" max="50" width="11.28515625" bestFit="1" customWidth="1"/>
    <col min="51" max="51" width="8.28515625" bestFit="1" customWidth="1"/>
    <col min="52" max="52" width="6.28515625" bestFit="1" customWidth="1"/>
    <col min="53" max="53" width="7.28515625" bestFit="1" customWidth="1"/>
    <col min="54" max="54" width="7" bestFit="1" customWidth="1"/>
    <col min="55" max="55" width="9.28515625" bestFit="1" customWidth="1"/>
    <col min="56" max="56" width="8.28515625" bestFit="1" customWidth="1"/>
    <col min="57" max="57" width="42.28515625" customWidth="1"/>
    <col min="58" max="58" width="21.85546875" bestFit="1" customWidth="1"/>
    <col min="59" max="63" width="4.7109375" customWidth="1"/>
  </cols>
  <sheetData>
    <row r="1" spans="1:63">
      <c r="C1" s="400" t="s">
        <v>1858</v>
      </c>
      <c r="D1" s="11" t="s">
        <v>1265</v>
      </c>
    </row>
    <row r="2" spans="1:63">
      <c r="C2" s="400" t="s">
        <v>1859</v>
      </c>
      <c r="D2" s="11" t="str">
        <f>Hotline</f>
        <v>(844)687-0229</v>
      </c>
    </row>
    <row r="3" spans="1:63">
      <c r="C3" s="400" t="s">
        <v>1860</v>
      </c>
      <c r="D3" s="11" t="s">
        <v>1254</v>
      </c>
    </row>
    <row r="4" spans="1:63">
      <c r="C4" s="400" t="s">
        <v>1861</v>
      </c>
      <c r="D4" s="11" t="str">
        <f>""</f>
        <v/>
      </c>
    </row>
    <row r="5" spans="1:63">
      <c r="C5" s="400" t="s">
        <v>1862</v>
      </c>
      <c r="D5" s="11" t="str">
        <f>""</f>
        <v/>
      </c>
    </row>
    <row r="6" spans="1:63">
      <c r="C6" s="400" t="s">
        <v>1863</v>
      </c>
      <c r="D6" s="11" t="s">
        <v>1346</v>
      </c>
    </row>
    <row r="7" spans="1:63">
      <c r="C7" s="400" t="s">
        <v>1865</v>
      </c>
      <c r="D7" s="11" t="e">
        <f>IF(AND(PROJID=0,M02S04F07=""),"",IF(AND(PROJID=0,M02S04F07&lt;&gt;""),M02S04F07,IF(AND(PROJID&lt;&gt;0,M02S04F07&lt;&gt;""),CONCATENATE("Project ",PROJID," - ",M02S04F07),"")))</f>
        <v>#REF!</v>
      </c>
    </row>
    <row r="8" spans="1:63">
      <c r="C8" s="400" t="s">
        <v>1864</v>
      </c>
      <c r="D8" s="11" t="str">
        <f>IF(AND(PROJID_N=0,N02S03F15=""),"",IF(AND(PROJID_N=0,N02S03F15&lt;&gt;""),N02S03F15,IF(AND(PROJID_N&lt;&gt;0,N02S03F15&lt;&gt;""),CONCATENATE("Project ",PROJID_N," - ",N02S03F15),"")))</f>
        <v/>
      </c>
    </row>
    <row r="9" spans="1:63">
      <c r="C9" s="400" t="s">
        <v>1877</v>
      </c>
      <c r="D9" s="11" t="e">
        <f>IF(AND(PROJID_X=0,X02S03F24=""),"",IF(AND(PROJID_X=0,X02S03F24&lt;&gt;""),X02S03F24,IF(AND(PROJID_X&lt;&gt;0,X02S03F24&lt;&gt;""),CONCATENATE("Project ",PROJID_X," - ",X02S03F24),"")))</f>
        <v>#REF!</v>
      </c>
    </row>
    <row r="10" spans="1:63" ht="30.6" customHeight="1">
      <c r="J10" s="611" t="s">
        <v>1449</v>
      </c>
      <c r="K10" s="611"/>
      <c r="L10" s="611"/>
      <c r="M10" s="611"/>
      <c r="AB10" s="612" t="s">
        <v>2164</v>
      </c>
      <c r="AC10" s="611"/>
      <c r="AD10" s="611"/>
      <c r="AE10" s="611"/>
      <c r="AF10" s="611"/>
      <c r="AG10" s="611"/>
      <c r="AH10" s="273"/>
      <c r="AI10" t="s">
        <v>330</v>
      </c>
    </row>
    <row r="11" spans="1:63" ht="15.6" customHeight="1">
      <c r="A11" t="s">
        <v>792</v>
      </c>
      <c r="C11" t="s">
        <v>173</v>
      </c>
      <c r="D11" t="s">
        <v>264</v>
      </c>
      <c r="F11" t="s">
        <v>292</v>
      </c>
      <c r="G11" t="s">
        <v>167</v>
      </c>
      <c r="H11" t="s">
        <v>53</v>
      </c>
      <c r="J11" t="s">
        <v>2297</v>
      </c>
      <c r="K11" t="s">
        <v>1530</v>
      </c>
      <c r="L11" t="s">
        <v>91</v>
      </c>
      <c r="M11" t="s">
        <v>1359</v>
      </c>
      <c r="O11" t="s">
        <v>57</v>
      </c>
      <c r="P11" t="s">
        <v>1497</v>
      </c>
      <c r="Q11" t="s">
        <v>852</v>
      </c>
      <c r="R11" t="s">
        <v>2016</v>
      </c>
      <c r="S11" t="s">
        <v>2125</v>
      </c>
      <c r="U11" t="s">
        <v>196</v>
      </c>
      <c r="V11" t="s">
        <v>762</v>
      </c>
      <c r="W11" t="s">
        <v>197</v>
      </c>
      <c r="X11" t="s">
        <v>1320</v>
      </c>
      <c r="Y11" t="s">
        <v>1241</v>
      </c>
      <c r="Z11" t="s">
        <v>1145</v>
      </c>
      <c r="AB11" t="s">
        <v>329</v>
      </c>
      <c r="AC11" t="s">
        <v>8</v>
      </c>
      <c r="AD11" t="s">
        <v>331</v>
      </c>
      <c r="AE11" t="s">
        <v>332</v>
      </c>
      <c r="AF11" t="s">
        <v>333</v>
      </c>
      <c r="AG11" t="s">
        <v>301</v>
      </c>
      <c r="AI11" t="s">
        <v>8</v>
      </c>
      <c r="AK11" s="610" t="s">
        <v>2126</v>
      </c>
      <c r="AL11" s="610"/>
      <c r="AM11" s="610"/>
      <c r="AN11" s="610"/>
      <c r="AO11" s="610"/>
      <c r="AP11" s="610"/>
      <c r="AQ11" s="610"/>
      <c r="AR11" s="610"/>
      <c r="AS11" s="610"/>
      <c r="AU11" t="s">
        <v>172</v>
      </c>
      <c r="AV11" t="s">
        <v>19</v>
      </c>
      <c r="AW11" t="s">
        <v>13</v>
      </c>
      <c r="AX11" t="s">
        <v>8</v>
      </c>
      <c r="AY11" t="s">
        <v>9</v>
      </c>
      <c r="AZ11" t="s">
        <v>17</v>
      </c>
      <c r="BA11" t="s">
        <v>168</v>
      </c>
      <c r="BB11" t="s">
        <v>169</v>
      </c>
      <c r="BC11" t="s">
        <v>167</v>
      </c>
      <c r="BD11" t="s">
        <v>53</v>
      </c>
      <c r="BE11" t="s">
        <v>171</v>
      </c>
      <c r="BF11" t="s">
        <v>274</v>
      </c>
      <c r="BK11" s="68"/>
    </row>
    <row r="12" spans="1:63">
      <c r="A12" t="s">
        <v>323</v>
      </c>
      <c r="C12" t="s">
        <v>2048</v>
      </c>
      <c r="D12" t="s">
        <v>2048</v>
      </c>
      <c r="F12" t="s">
        <v>1215</v>
      </c>
      <c r="G12" t="s">
        <v>1519</v>
      </c>
      <c r="H12" s="181" t="s">
        <v>1852</v>
      </c>
      <c r="J12" s="198" t="b">
        <v>0</v>
      </c>
      <c r="K12" s="198" t="str">
        <f>IF(Excel_Ack[[#This Row],[Acknowledge]]=TRUE, "'M02-S01'!A1", "'M01-S02'!A1")</f>
        <v>'M01-S02'!A1</v>
      </c>
      <c r="L12" s="198" t="str">
        <f>IF(Excel_Ack[[#This Row],[Acknowledge]]=TRUE, "'N02-S01'!A1", "'N01-S02'!A1")</f>
        <v>'N01-S02'!A1</v>
      </c>
      <c r="M12" s="198" t="str">
        <f>IF(Excel_Ack[[#This Row],[Acknowledge]]=TRUE, "'X02-S01'!A1", "'X01-S02'!A1")</f>
        <v>'X01-S02'!A1</v>
      </c>
      <c r="O12" t="s">
        <v>854</v>
      </c>
      <c r="P12" s="13">
        <v>1.1399999999999999</v>
      </c>
      <c r="Q12" s="13">
        <v>0.66</v>
      </c>
      <c r="R12" s="13">
        <v>1.3</v>
      </c>
      <c r="S12" s="13">
        <v>0.22</v>
      </c>
      <c r="U12" s="67" t="s">
        <v>194</v>
      </c>
      <c r="V12" s="67" t="s">
        <v>2293</v>
      </c>
      <c r="W12" s="542">
        <v>3.823408E-4</v>
      </c>
      <c r="X12" s="543">
        <v>0.25</v>
      </c>
      <c r="Y12" s="274"/>
      <c r="Z12" s="217" t="s">
        <v>1129</v>
      </c>
      <c r="AB12">
        <v>64720</v>
      </c>
      <c r="AC12" t="s">
        <v>337</v>
      </c>
      <c r="AD12" t="s">
        <v>1866</v>
      </c>
      <c r="AE12" t="s">
        <v>380</v>
      </c>
      <c r="AF12" t="s">
        <v>1866</v>
      </c>
      <c r="AG12" t="s">
        <v>336</v>
      </c>
      <c r="AI12" t="s">
        <v>337</v>
      </c>
      <c r="AK12" s="457"/>
      <c r="AL12" s="611" t="s">
        <v>2127</v>
      </c>
      <c r="AM12" s="611"/>
      <c r="AN12" s="611"/>
      <c r="AO12" s="611"/>
      <c r="AP12" s="611" t="s">
        <v>2121</v>
      </c>
      <c r="AQ12" s="611"/>
      <c r="AR12" s="611"/>
      <c r="AS12" s="611"/>
      <c r="AU12" t="s">
        <v>1272</v>
      </c>
      <c r="AV12" t="e">
        <f>M02S02F02</f>
        <v>#REF!</v>
      </c>
      <c r="AW12" t="e">
        <f>M02S02F03</f>
        <v>#REF!</v>
      </c>
      <c r="AX12" t="e">
        <f>M02S02F04</f>
        <v>#REF!</v>
      </c>
      <c r="AY12" t="e">
        <f>M02S02F05</f>
        <v>#REF!</v>
      </c>
      <c r="AZ12" t="e">
        <f>M02S02F06</f>
        <v>#REF!</v>
      </c>
      <c r="BA12" t="e">
        <f>M02S02F07</f>
        <v>#REF!</v>
      </c>
      <c r="BB12" t="e">
        <f>M02S02F08</f>
        <v>#REF!</v>
      </c>
      <c r="BC12" t="e">
        <f>M02S02F10</f>
        <v>#REF!</v>
      </c>
      <c r="BD12" t="e">
        <f>M02S02F11</f>
        <v>#REF!</v>
      </c>
      <c r="BE12" t="s">
        <v>1257</v>
      </c>
      <c r="BF12" t="s">
        <v>1157</v>
      </c>
    </row>
    <row r="13" spans="1:63">
      <c r="A13" t="s">
        <v>791</v>
      </c>
      <c r="C13" t="s">
        <v>174</v>
      </c>
      <c r="D13" t="s">
        <v>265</v>
      </c>
      <c r="F13" t="s">
        <v>1914</v>
      </c>
      <c r="G13" t="s">
        <v>1916</v>
      </c>
      <c r="H13" s="181" t="s">
        <v>1915</v>
      </c>
      <c r="O13" t="s">
        <v>1904</v>
      </c>
      <c r="P13" s="13">
        <v>1.1599999999999999</v>
      </c>
      <c r="Q13" s="13">
        <v>0.97</v>
      </c>
      <c r="R13" s="13">
        <v>1.24</v>
      </c>
      <c r="S13" s="13">
        <v>0.22</v>
      </c>
      <c r="U13" s="67" t="s">
        <v>1305</v>
      </c>
      <c r="V13" s="67" t="s">
        <v>2293</v>
      </c>
      <c r="W13" s="542">
        <v>1.1674499999999999E-4</v>
      </c>
      <c r="X13" s="543">
        <v>0.12</v>
      </c>
      <c r="Y13" s="274"/>
      <c r="Z13" s="217" t="s">
        <v>1128</v>
      </c>
      <c r="AB13">
        <v>64401</v>
      </c>
      <c r="AC13" t="s">
        <v>339</v>
      </c>
      <c r="AD13" t="s">
        <v>1866</v>
      </c>
      <c r="AE13" t="s">
        <v>431</v>
      </c>
      <c r="AF13" t="s">
        <v>1866</v>
      </c>
      <c r="AG13" t="s">
        <v>336</v>
      </c>
      <c r="AI13" t="s">
        <v>339</v>
      </c>
      <c r="AK13" t="s">
        <v>2123</v>
      </c>
      <c r="AL13" t="s">
        <v>2128</v>
      </c>
      <c r="AM13" t="s">
        <v>2129</v>
      </c>
      <c r="AN13" t="s">
        <v>2130</v>
      </c>
      <c r="AO13" s="22" t="s">
        <v>2131</v>
      </c>
      <c r="AP13" s="22" t="s">
        <v>2132</v>
      </c>
      <c r="AQ13" t="s">
        <v>2133</v>
      </c>
      <c r="AR13" t="s">
        <v>2134</v>
      </c>
      <c r="AS13" s="22" t="s">
        <v>2135</v>
      </c>
      <c r="AU13" t="s">
        <v>1271</v>
      </c>
      <c r="AV13" t="e">
        <f>M02S03F01</f>
        <v>#REF!</v>
      </c>
      <c r="AW13" t="e">
        <f>M02S03F02</f>
        <v>#REF!</v>
      </c>
      <c r="AX13" t="e">
        <f>M02S03F03</f>
        <v>#REF!</v>
      </c>
      <c r="AY13" t="e">
        <f>M02S03F04</f>
        <v>#REF!</v>
      </c>
      <c r="AZ13" t="e">
        <f>M02S03F05</f>
        <v>#REF!</v>
      </c>
      <c r="BA13" t="e">
        <f>M02S03F06</f>
        <v>#REF!</v>
      </c>
      <c r="BB13" t="e">
        <f>M02S03F07</f>
        <v>#REF!</v>
      </c>
      <c r="BC13" t="e">
        <f>M02S03F09</f>
        <v>#REF!</v>
      </c>
      <c r="BD13" t="e">
        <f>M02S03F10</f>
        <v>#REF!</v>
      </c>
      <c r="BE13" t="s">
        <v>1258</v>
      </c>
      <c r="BF13" t="s">
        <v>170</v>
      </c>
    </row>
    <row r="14" spans="1:63">
      <c r="C14" t="s">
        <v>175</v>
      </c>
      <c r="D14" t="s">
        <v>175</v>
      </c>
      <c r="F14" t="s">
        <v>2066</v>
      </c>
      <c r="G14" t="s">
        <v>2067</v>
      </c>
      <c r="H14" s="181" t="s">
        <v>2068</v>
      </c>
      <c r="J14" s="611" t="s">
        <v>16</v>
      </c>
      <c r="K14" s="611"/>
      <c r="L14" s="611"/>
      <c r="M14" s="611"/>
      <c r="O14" t="s">
        <v>856</v>
      </c>
      <c r="P14" s="13">
        <v>1.0900000000000001</v>
      </c>
      <c r="Q14" s="13">
        <v>0.76</v>
      </c>
      <c r="R14" s="13">
        <v>1.26</v>
      </c>
      <c r="S14" s="13">
        <v>0.22</v>
      </c>
      <c r="U14" s="67" t="s">
        <v>1315</v>
      </c>
      <c r="V14" s="67" t="s">
        <v>2293</v>
      </c>
      <c r="W14" s="542">
        <v>6.6623799999999999E-4</v>
      </c>
      <c r="X14" s="543">
        <v>0.36</v>
      </c>
      <c r="Y14" s="274"/>
      <c r="Z14" s="217" t="s">
        <v>1141</v>
      </c>
      <c r="AB14">
        <v>64402</v>
      </c>
      <c r="AC14" t="s">
        <v>341</v>
      </c>
      <c r="AE14" t="s">
        <v>543</v>
      </c>
      <c r="AG14" t="s">
        <v>336</v>
      </c>
      <c r="AI14" t="s">
        <v>341</v>
      </c>
      <c r="AK14">
        <v>0</v>
      </c>
      <c r="AL14" s="460">
        <v>0.9798</v>
      </c>
      <c r="AM14" s="459"/>
      <c r="AN14" s="459"/>
      <c r="AO14" s="459"/>
      <c r="AP14" s="461">
        <v>0.97340000000000004</v>
      </c>
      <c r="AQ14" s="459"/>
      <c r="AR14" s="459"/>
      <c r="AS14" s="459"/>
      <c r="AU14" t="s">
        <v>1270</v>
      </c>
      <c r="AV14" t="e">
        <f>M02S04F07</f>
        <v>#REF!</v>
      </c>
      <c r="AW14" t="e">
        <f>M02S04F08</f>
        <v>#REF!</v>
      </c>
      <c r="AX14" t="e">
        <f>M02S04F09</f>
        <v>#REF!</v>
      </c>
      <c r="AY14" t="e">
        <f>M02S04F10</f>
        <v>#REF!</v>
      </c>
      <c r="AZ14" t="e">
        <f>M02S04F11</f>
        <v>#REF!</v>
      </c>
      <c r="BA14" t="e">
        <f>M02S04F12</f>
        <v>#REF!</v>
      </c>
      <c r="BB14" t="e">
        <f>M02S04F13</f>
        <v>#REF!</v>
      </c>
      <c r="BC14" t="e">
        <f>M02S04F15</f>
        <v>#REF!</v>
      </c>
      <c r="BD14" t="e">
        <f>M02S04F16</f>
        <v>#REF!</v>
      </c>
      <c r="BE14" t="s">
        <v>1259</v>
      </c>
      <c r="BF14" t="s">
        <v>170</v>
      </c>
    </row>
    <row r="15" spans="1:63">
      <c r="A15" t="s">
        <v>166</v>
      </c>
      <c r="C15" t="s">
        <v>176</v>
      </c>
      <c r="D15" t="s">
        <v>176</v>
      </c>
      <c r="F15" t="s">
        <v>2199</v>
      </c>
      <c r="G15" t="s">
        <v>2200</v>
      </c>
      <c r="H15" s="181" t="s">
        <v>2201</v>
      </c>
      <c r="J15" t="s">
        <v>2297</v>
      </c>
      <c r="K15" t="s">
        <v>1530</v>
      </c>
      <c r="L15" t="s">
        <v>91</v>
      </c>
      <c r="M15" t="s">
        <v>1359</v>
      </c>
      <c r="O15" t="s">
        <v>1905</v>
      </c>
      <c r="P15" s="13">
        <v>1.08</v>
      </c>
      <c r="Q15" s="13">
        <v>0.67</v>
      </c>
      <c r="R15" s="13">
        <v>1.3</v>
      </c>
      <c r="S15" s="13">
        <v>0.22</v>
      </c>
      <c r="U15" s="67" t="s">
        <v>1317</v>
      </c>
      <c r="V15" s="67" t="s">
        <v>2293</v>
      </c>
      <c r="W15" s="542">
        <v>0</v>
      </c>
      <c r="X15" s="543">
        <v>0.05</v>
      </c>
      <c r="Y15" s="275"/>
      <c r="Z15" s="217" t="s">
        <v>1144</v>
      </c>
      <c r="AB15">
        <v>64420</v>
      </c>
      <c r="AC15" t="s">
        <v>343</v>
      </c>
      <c r="AD15" t="s">
        <v>1866</v>
      </c>
      <c r="AE15" t="s">
        <v>708</v>
      </c>
      <c r="AF15" t="s">
        <v>1866</v>
      </c>
      <c r="AG15" t="s">
        <v>336</v>
      </c>
      <c r="AI15" t="s">
        <v>343</v>
      </c>
      <c r="AK15">
        <v>15</v>
      </c>
      <c r="AL15" s="458">
        <f>ROUND(AVERAGE(AM15:AO15), 4)</f>
        <v>0.9798</v>
      </c>
      <c r="AM15" s="459">
        <v>0.98099999999999998</v>
      </c>
      <c r="AN15" s="459">
        <v>0.97860000000000003</v>
      </c>
      <c r="AO15" s="459"/>
      <c r="AP15" s="458">
        <f>ROUND(AVERAGE(AQ15:AS15), 4)</f>
        <v>0.97340000000000004</v>
      </c>
      <c r="AQ15" s="459">
        <v>0.97499999999999998</v>
      </c>
      <c r="AR15" s="459">
        <v>0.97180000000000011</v>
      </c>
      <c r="AS15" s="459"/>
      <c r="AU15" t="s">
        <v>1269</v>
      </c>
      <c r="AV15" t="e">
        <f>M02S04F07</f>
        <v>#REF!</v>
      </c>
      <c r="AW15" t="e">
        <f>M02S04F08</f>
        <v>#REF!</v>
      </c>
      <c r="AX15" t="e">
        <f>M02S04F09</f>
        <v>#REF!</v>
      </c>
      <c r="AY15" t="e">
        <f>M02S04F10</f>
        <v>#REF!</v>
      </c>
      <c r="AZ15" t="e">
        <f>M02S04F11</f>
        <v>#REF!</v>
      </c>
      <c r="BA15" t="e">
        <f>M02S04F12</f>
        <v>#REF!</v>
      </c>
      <c r="BB15" t="e">
        <f>M02S04F13</f>
        <v>#REF!</v>
      </c>
      <c r="BC15" t="e">
        <f>M02S04F15</f>
        <v>#REF!</v>
      </c>
      <c r="BD15" t="e">
        <f>M02S04F16</f>
        <v>#REF!</v>
      </c>
      <c r="BE15" t="s">
        <v>1274</v>
      </c>
      <c r="BF15" t="s">
        <v>30</v>
      </c>
    </row>
    <row r="16" spans="1:63">
      <c r="A16" t="s">
        <v>1294</v>
      </c>
      <c r="C16" t="s">
        <v>30</v>
      </c>
      <c r="D16" t="s">
        <v>30</v>
      </c>
      <c r="F16" t="s">
        <v>2245</v>
      </c>
      <c r="G16" t="s">
        <v>2246</v>
      </c>
      <c r="H16" s="527" t="s">
        <v>2247</v>
      </c>
      <c r="J16" s="198" t="b" cm="1">
        <f t="array" ref="J16">Excel_Ack[Acknowledge]</f>
        <v>0</v>
      </c>
      <c r="K16" s="198" t="str">
        <f>"'M01-S03'!A1"</f>
        <v>'M01-S03'!A1</v>
      </c>
      <c r="L16" s="198" t="str">
        <f>"'N01-S03'!A1"</f>
        <v>'N01-S03'!A1</v>
      </c>
      <c r="M16" s="198" t="str">
        <f>"'X01-S03'!A1"</f>
        <v>'X01-S03'!A1</v>
      </c>
      <c r="O16" t="s">
        <v>826</v>
      </c>
      <c r="P16" s="13">
        <v>1</v>
      </c>
      <c r="Q16" s="13">
        <v>0</v>
      </c>
      <c r="R16" s="13">
        <v>1</v>
      </c>
      <c r="S16" s="13">
        <v>0.22</v>
      </c>
      <c r="U16" s="67" t="s">
        <v>2202</v>
      </c>
      <c r="V16" s="67" t="s">
        <v>2293</v>
      </c>
      <c r="W16" s="542">
        <v>1.3870850000000001E-4</v>
      </c>
      <c r="X16" s="571">
        <v>0</v>
      </c>
      <c r="Y16" s="274"/>
      <c r="Z16" s="217" t="s">
        <v>1135</v>
      </c>
      <c r="AB16">
        <v>64001</v>
      </c>
      <c r="AC16" t="s">
        <v>345</v>
      </c>
      <c r="AD16" t="s">
        <v>1866</v>
      </c>
      <c r="AE16" t="s">
        <v>698</v>
      </c>
      <c r="AF16" t="s">
        <v>1866</v>
      </c>
      <c r="AG16" t="s">
        <v>336</v>
      </c>
      <c r="AI16" t="s">
        <v>345</v>
      </c>
      <c r="AK16">
        <v>25</v>
      </c>
      <c r="AL16" s="458">
        <f t="shared" ref="AL16:AL34" si="0">ROUND(AVERAGE(AM16:AO16), 4)</f>
        <v>0.98229999999999995</v>
      </c>
      <c r="AM16" s="459">
        <v>0.98329999999999995</v>
      </c>
      <c r="AN16" s="459">
        <v>0.98120000000000007</v>
      </c>
      <c r="AO16" s="459"/>
      <c r="AP16" s="460">
        <v>0.97340000000000004</v>
      </c>
      <c r="AQ16" s="459"/>
      <c r="AR16" s="459"/>
      <c r="AS16" s="459"/>
      <c r="AU16" t="s">
        <v>1273</v>
      </c>
      <c r="AV16" t="str">
        <f>""</f>
        <v/>
      </c>
      <c r="AW16" t="str">
        <f>""</f>
        <v/>
      </c>
      <c r="AX16" t="str">
        <f>""</f>
        <v/>
      </c>
      <c r="AY16" t="str">
        <f>""</f>
        <v/>
      </c>
      <c r="AZ16" t="str">
        <f>""</f>
        <v/>
      </c>
      <c r="BA16" t="str">
        <f>""</f>
        <v/>
      </c>
      <c r="BB16" t="str">
        <f>""</f>
        <v/>
      </c>
      <c r="BC16" t="str">
        <f>""</f>
        <v/>
      </c>
      <c r="BD16" t="str">
        <f>""</f>
        <v/>
      </c>
      <c r="BE16" t="s">
        <v>1259</v>
      </c>
      <c r="BF16" t="s">
        <v>30</v>
      </c>
    </row>
    <row r="17" spans="1:58">
      <c r="A17" t="s">
        <v>1295</v>
      </c>
      <c r="C17" t="s">
        <v>177</v>
      </c>
      <c r="D17" t="s">
        <v>267</v>
      </c>
      <c r="F17" s="23" t="s">
        <v>2259</v>
      </c>
      <c r="G17" s="23" t="s">
        <v>2295</v>
      </c>
      <c r="H17" s="541" t="s">
        <v>2260</v>
      </c>
      <c r="O17" t="s">
        <v>851</v>
      </c>
      <c r="P17" s="13">
        <v>1</v>
      </c>
      <c r="Q17" s="13">
        <v>0.92</v>
      </c>
      <c r="R17" s="13">
        <v>1</v>
      </c>
      <c r="S17" s="13">
        <v>0.22</v>
      </c>
      <c r="U17" s="67" t="s">
        <v>1327</v>
      </c>
      <c r="V17" s="67" t="s">
        <v>2293</v>
      </c>
      <c r="W17" s="542">
        <v>0</v>
      </c>
      <c r="X17" s="571">
        <v>0</v>
      </c>
      <c r="Y17" s="274"/>
      <c r="Z17" s="217" t="s">
        <v>1134</v>
      </c>
      <c r="AB17">
        <v>64620</v>
      </c>
      <c r="AC17" t="s">
        <v>347</v>
      </c>
      <c r="AD17" t="s">
        <v>1866</v>
      </c>
      <c r="AE17" t="s">
        <v>583</v>
      </c>
      <c r="AF17" t="s">
        <v>1866</v>
      </c>
      <c r="AG17" t="s">
        <v>336</v>
      </c>
      <c r="AI17" t="s">
        <v>347</v>
      </c>
      <c r="AK17">
        <v>30</v>
      </c>
      <c r="AL17" s="460">
        <v>0.98229999999999995</v>
      </c>
      <c r="AM17" s="459"/>
      <c r="AN17" s="459"/>
      <c r="AO17" s="459"/>
      <c r="AP17" s="458">
        <f t="shared" ref="AP17:AP38" si="1">ROUND(AVERAGE(AQ17:AS17), 4)</f>
        <v>0.97770000000000001</v>
      </c>
      <c r="AQ17" s="459">
        <v>0.97900000000000009</v>
      </c>
      <c r="AR17" s="459">
        <v>0.97629999999999995</v>
      </c>
      <c r="AS17" s="459"/>
    </row>
    <row r="18" spans="1:58">
      <c r="C18" t="s">
        <v>2049</v>
      </c>
      <c r="D18" t="s">
        <v>2049</v>
      </c>
      <c r="F18" t="s">
        <v>2341</v>
      </c>
      <c r="G18" t="s">
        <v>2342</v>
      </c>
      <c r="H18" s="541" t="s">
        <v>2343</v>
      </c>
      <c r="J18" s="611" t="s">
        <v>2326</v>
      </c>
      <c r="K18" s="611"/>
      <c r="L18" s="611"/>
      <c r="M18" s="611"/>
      <c r="O18" t="s">
        <v>857</v>
      </c>
      <c r="P18" s="13">
        <v>1</v>
      </c>
      <c r="Q18" s="13">
        <v>1</v>
      </c>
      <c r="R18" s="13">
        <v>1</v>
      </c>
      <c r="S18" s="13">
        <v>0.22</v>
      </c>
      <c r="U18" s="67" t="s">
        <v>1303</v>
      </c>
      <c r="V18" s="67" t="s">
        <v>2293</v>
      </c>
      <c r="W18" s="542">
        <v>1.998949E-4</v>
      </c>
      <c r="X18" s="543">
        <v>0.1</v>
      </c>
      <c r="Y18" s="274"/>
      <c r="Z18" s="217" t="s">
        <v>1130</v>
      </c>
      <c r="AB18">
        <v>64421</v>
      </c>
      <c r="AC18" t="s">
        <v>334</v>
      </c>
      <c r="AD18" t="s">
        <v>1866</v>
      </c>
      <c r="AE18" t="s">
        <v>335</v>
      </c>
      <c r="AF18" t="s">
        <v>1866</v>
      </c>
      <c r="AG18" t="s">
        <v>336</v>
      </c>
      <c r="AI18" t="s">
        <v>334</v>
      </c>
      <c r="AK18">
        <v>37.5</v>
      </c>
      <c r="AL18" s="458">
        <f t="shared" si="0"/>
        <v>0.98399999999999999</v>
      </c>
      <c r="AM18" s="459">
        <v>0.9849</v>
      </c>
      <c r="AN18" s="459">
        <v>0.98299999999999998</v>
      </c>
      <c r="AO18" s="459"/>
      <c r="AP18" s="460">
        <v>0.97770000000000001</v>
      </c>
      <c r="AQ18" s="459"/>
      <c r="AR18" s="459"/>
      <c r="AS18" s="459"/>
      <c r="AU18" t="s">
        <v>172</v>
      </c>
      <c r="AV18" t="s">
        <v>19</v>
      </c>
      <c r="AW18" t="s">
        <v>13</v>
      </c>
      <c r="AX18" t="s">
        <v>8</v>
      </c>
      <c r="AY18" t="s">
        <v>9</v>
      </c>
      <c r="AZ18" t="s">
        <v>17</v>
      </c>
      <c r="BA18" t="s">
        <v>168</v>
      </c>
      <c r="BB18" t="s">
        <v>169</v>
      </c>
      <c r="BC18" t="s">
        <v>167</v>
      </c>
      <c r="BD18" t="s">
        <v>53</v>
      </c>
      <c r="BE18" t="s">
        <v>171</v>
      </c>
      <c r="BF18" t="s">
        <v>274</v>
      </c>
    </row>
    <row r="19" spans="1:58">
      <c r="A19" t="s">
        <v>839</v>
      </c>
      <c r="C19" t="s">
        <v>2051</v>
      </c>
      <c r="D19" t="s">
        <v>266</v>
      </c>
      <c r="F19" t="s">
        <v>295</v>
      </c>
      <c r="J19" t="s">
        <v>2297</v>
      </c>
      <c r="K19" t="s">
        <v>1530</v>
      </c>
      <c r="L19" t="s">
        <v>91</v>
      </c>
      <c r="M19" t="s">
        <v>1359</v>
      </c>
      <c r="O19" t="s">
        <v>1906</v>
      </c>
      <c r="P19" s="13">
        <v>1.0900000000000001</v>
      </c>
      <c r="Q19" s="13">
        <v>0.76</v>
      </c>
      <c r="R19" s="13">
        <v>1.26</v>
      </c>
      <c r="S19" s="13">
        <v>0.22</v>
      </c>
      <c r="U19" s="67" t="s">
        <v>27</v>
      </c>
      <c r="V19" s="67" t="s">
        <v>2293</v>
      </c>
      <c r="W19" s="542">
        <v>3.4198269999999997E-4</v>
      </c>
      <c r="X19" s="543">
        <v>0.23</v>
      </c>
      <c r="Y19" s="274"/>
      <c r="Z19" s="217" t="s">
        <v>1131</v>
      </c>
      <c r="AB19">
        <v>64422</v>
      </c>
      <c r="AC19" t="s">
        <v>350</v>
      </c>
      <c r="AD19" t="s">
        <v>1866</v>
      </c>
      <c r="AE19" t="s">
        <v>592</v>
      </c>
      <c r="AF19" t="s">
        <v>1866</v>
      </c>
      <c r="AG19" t="s">
        <v>336</v>
      </c>
      <c r="AI19" t="s">
        <v>350</v>
      </c>
      <c r="AK19">
        <v>45</v>
      </c>
      <c r="AL19" s="460">
        <v>0.98399999999999999</v>
      </c>
      <c r="AM19" s="459"/>
      <c r="AN19" s="459"/>
      <c r="AO19" s="459"/>
      <c r="AP19" s="458">
        <f t="shared" si="1"/>
        <v>0.9798</v>
      </c>
      <c r="AQ19" s="459">
        <v>0.98099999999999998</v>
      </c>
      <c r="AR19" s="459">
        <v>0.97860000000000003</v>
      </c>
      <c r="AS19" s="459"/>
      <c r="AU19" t="s">
        <v>1829</v>
      </c>
      <c r="AV19" t="e">
        <f>IF(X05S01F15="Service Provider", X02S02F01,
IF(X05S01F15=X02S02F12, X02S02F13,
IF(X05S01F15=X02S02F23, X02S02F24,"")))</f>
        <v>#REF!</v>
      </c>
      <c r="AW19" t="e">
        <f>IF(X05S01F15="Service Provider", X02S02F02,
IF(X05S01F15=X02S02F12, X02S02F14,
IF(X05S01F15=X02S02F23, X02S02F25,"")))</f>
        <v>#REF!</v>
      </c>
      <c r="AX19" t="e">
        <f>IF(X05S01F15="Service Provider", X02S02F03,
IF(X05S01F15=X02S02F12, X02S02F15,
IF(X05S01F15=X02S02F23, X02S02F26,"")))</f>
        <v>#REF!</v>
      </c>
      <c r="AY19" t="e">
        <f>IF(X05S01F15="Service Provider", X02S02F04,
IF(X05S01F15=X02S02F12, X02S02F16,
IF(X05S01F15=X02S02F23, X02S02F27,"")))</f>
        <v>#REF!</v>
      </c>
      <c r="AZ19" t="e">
        <f>IF(X05S01F15="Service Provider", X02S02F05,
IF(X05S01F15=X02S02F12, X02S02F17,
IF(X05S01F15=X02S02F23, X02S02F28,"")))</f>
        <v>#REF!</v>
      </c>
      <c r="BA19" t="e">
        <f>IF(X05S01F15="Service Provider", X02S02F06,
IF(X05S01F15=X02S02F12, X02S02F18,
IF(X05S01F15=X02S02F23, X02S02F29,"")))</f>
        <v>#REF!</v>
      </c>
      <c r="BB19" t="e">
        <f>IF(X05S01F15="Service Provider", X02S02F07,
IF(X05S01F15=X02S02F12, X02S02F19,
IF(X05S01F15=X02S02F23, X02S02F30,"")))</f>
        <v>#REF!</v>
      </c>
      <c r="BC19" t="e">
        <f>IF(X05S01F15="Service Provider", X02S02F09,
IF(X05S01F15=X02S02F12, X02S02F21,
IF(X05S01F15=X02S02F23, X02S02F32,"")))</f>
        <v>#REF!</v>
      </c>
      <c r="BD19" t="e">
        <f>IF(X05S01F15="Service Provider", X02S02F10,
IF(X05S01F15=X02S02F12, X02S02F22,
IF(X05S01F15=X02S02F23, X02S02F33,"")))</f>
        <v>#REF!</v>
      </c>
      <c r="BE19" t="s">
        <v>1257</v>
      </c>
      <c r="BF19" t="s">
        <v>1157</v>
      </c>
    </row>
    <row r="20" spans="1:58">
      <c r="A20" t="s">
        <v>849</v>
      </c>
      <c r="C20" t="s">
        <v>2050</v>
      </c>
      <c r="D20" t="s">
        <v>2050</v>
      </c>
      <c r="F20" t="s">
        <v>30</v>
      </c>
      <c r="J20" s="198" t="b" cm="1">
        <f t="array" ref="J20">Excel_Ack[Acknowledge]</f>
        <v>0</v>
      </c>
      <c r="K20" s="198" t="str">
        <f>IF(Excel_Ack_Offer[[#This Row],[Acknowledge]]=TRUE, IF(ACTIVEOFFER="Yes", "'M05-S04'!A1", ""), "'M01-S02'!A1")</f>
        <v>'M01-S02'!A1</v>
      </c>
      <c r="L20" s="198" t="str">
        <f>IF(Excel_Ack_Offer[[#This Row],[Acknowledge]]=TRUE, IF(ACTIVEOFFER_N="Yes", "'N05-S04'!A1", ""), "'N01-S02'!A1")</f>
        <v>'N01-S02'!A1</v>
      </c>
      <c r="M20" s="198" t="str">
        <f>IF(Excel_Ack_Offer[[#This Row],[Acknowledge]]=TRUE, IF(ACTIVEOFFER_X="Yes", "'X05-S04'!A1", ""), "'X01-S02'!A1")</f>
        <v>'X01-S02'!A1</v>
      </c>
      <c r="O20" t="s">
        <v>858</v>
      </c>
      <c r="P20" s="13">
        <v>1.05</v>
      </c>
      <c r="Q20" s="13">
        <v>0.82</v>
      </c>
      <c r="R20" s="13">
        <v>1.22</v>
      </c>
      <c r="S20" s="13">
        <v>0.22</v>
      </c>
      <c r="U20" s="67" t="s">
        <v>1325</v>
      </c>
      <c r="V20" s="67" t="s">
        <v>2293</v>
      </c>
      <c r="W20" s="542">
        <v>1.3870850000000001E-4</v>
      </c>
      <c r="X20" s="543">
        <v>0.18</v>
      </c>
      <c r="Y20" s="275"/>
      <c r="Z20" s="217" t="s">
        <v>1132</v>
      </c>
      <c r="AB20">
        <v>64722</v>
      </c>
      <c r="AC20" t="s">
        <v>353</v>
      </c>
      <c r="AD20" t="s">
        <v>1866</v>
      </c>
      <c r="AE20" t="s">
        <v>380</v>
      </c>
      <c r="AF20" t="s">
        <v>1866</v>
      </c>
      <c r="AG20" t="s">
        <v>336</v>
      </c>
      <c r="AI20" t="s">
        <v>353</v>
      </c>
      <c r="AK20">
        <v>50</v>
      </c>
      <c r="AL20" s="458">
        <f t="shared" si="0"/>
        <v>0.98509999999999998</v>
      </c>
      <c r="AM20" s="459">
        <v>0.98599999999999999</v>
      </c>
      <c r="AN20" s="459">
        <v>0.98419999999999996</v>
      </c>
      <c r="AO20" s="459"/>
      <c r="AP20" s="460">
        <v>0.9798</v>
      </c>
      <c r="AQ20" s="459"/>
      <c r="AR20" s="459"/>
      <c r="AS20" s="459"/>
      <c r="AU20" t="s">
        <v>1271</v>
      </c>
      <c r="AV20" t="e">
        <f>X02S03F01</f>
        <v>#REF!</v>
      </c>
      <c r="AW20" t="e">
        <f>X02S03F02</f>
        <v>#REF!</v>
      </c>
      <c r="AX20" t="e">
        <f>X02S03F03</f>
        <v>#REF!</v>
      </c>
      <c r="AY20" t="e">
        <f>X02S03F04</f>
        <v>#REF!</v>
      </c>
      <c r="AZ20" t="e">
        <f>X02S03F05</f>
        <v>#REF!</v>
      </c>
      <c r="BA20" t="e">
        <f>X02S03F06</f>
        <v>#REF!</v>
      </c>
      <c r="BB20" t="e">
        <f>X02S03F07</f>
        <v>#REF!</v>
      </c>
      <c r="BC20" t="e">
        <f>X02S03F09</f>
        <v>#REF!</v>
      </c>
      <c r="BD20" t="e">
        <f>X02S03F10</f>
        <v>#REF!</v>
      </c>
      <c r="BE20" t="s">
        <v>1258</v>
      </c>
      <c r="BF20" t="s">
        <v>170</v>
      </c>
    </row>
    <row r="21" spans="1:58">
      <c r="A21" t="s">
        <v>50</v>
      </c>
      <c r="J21" s="32"/>
      <c r="O21" t="s">
        <v>868</v>
      </c>
      <c r="P21" s="13">
        <v>1.1299999999999999</v>
      </c>
      <c r="Q21" s="13">
        <v>0.56000000000000005</v>
      </c>
      <c r="R21" s="13">
        <v>1.35</v>
      </c>
      <c r="S21" s="13">
        <v>0.22</v>
      </c>
      <c r="U21" s="67" t="s">
        <v>1326</v>
      </c>
      <c r="V21" s="67" t="s">
        <v>2293</v>
      </c>
      <c r="W21" s="542">
        <v>0</v>
      </c>
      <c r="X21" s="543">
        <v>0.08</v>
      </c>
      <c r="Y21" s="274"/>
      <c r="Z21" s="217" t="s">
        <v>1133</v>
      </c>
      <c r="AB21">
        <v>64723</v>
      </c>
      <c r="AC21" t="s">
        <v>355</v>
      </c>
      <c r="AD21" t="s">
        <v>1866</v>
      </c>
      <c r="AE21" t="s">
        <v>380</v>
      </c>
      <c r="AF21" t="s">
        <v>1866</v>
      </c>
      <c r="AG21" t="s">
        <v>336</v>
      </c>
      <c r="AI21" t="s">
        <v>355</v>
      </c>
      <c r="AK21">
        <v>75</v>
      </c>
      <c r="AL21" s="458">
        <f t="shared" si="0"/>
        <v>0.98609999999999998</v>
      </c>
      <c r="AM21" s="459">
        <v>0.98730000000000007</v>
      </c>
      <c r="AN21" s="459">
        <v>0.98569999999999991</v>
      </c>
      <c r="AO21" s="459">
        <v>0.98530000000000006</v>
      </c>
      <c r="AP21" s="458">
        <f t="shared" si="1"/>
        <v>0.98229999999999995</v>
      </c>
      <c r="AQ21" s="459">
        <v>0.98329999999999995</v>
      </c>
      <c r="AR21" s="459">
        <v>0.98129999999999995</v>
      </c>
      <c r="AS21" s="459"/>
      <c r="AU21" t="s">
        <v>1270</v>
      </c>
      <c r="AV21" t="e">
        <f>X02S03F24</f>
        <v>#REF!</v>
      </c>
      <c r="AW21" t="e">
        <f>X02S03F25</f>
        <v>#REF!</v>
      </c>
      <c r="AX21" t="e">
        <f>X02S03F26</f>
        <v>#REF!</v>
      </c>
      <c r="AY21" t="e">
        <f>X02S03F27</f>
        <v>#REF!</v>
      </c>
      <c r="AZ21" t="e">
        <f>X02S03F28</f>
        <v>#REF!</v>
      </c>
      <c r="BA21" t="e">
        <f>X02S03F12</f>
        <v>#REF!</v>
      </c>
      <c r="BB21" t="e">
        <f>X02S03F13</f>
        <v>#REF!</v>
      </c>
      <c r="BC21" t="e">
        <f>X02S03F15</f>
        <v>#REF!</v>
      </c>
      <c r="BD21" t="e">
        <f>X02S03F16</f>
        <v>#REF!</v>
      </c>
      <c r="BE21" t="s">
        <v>1259</v>
      </c>
      <c r="BF21" t="s">
        <v>170</v>
      </c>
    </row>
    <row r="22" spans="1:58">
      <c r="A22" t="s">
        <v>1010</v>
      </c>
      <c r="C22" t="s">
        <v>59</v>
      </c>
      <c r="D22" t="s">
        <v>160</v>
      </c>
      <c r="J22" s="611" t="s">
        <v>2327</v>
      </c>
      <c r="K22" s="611"/>
      <c r="L22" s="611"/>
      <c r="M22" s="611"/>
      <c r="O22" t="s">
        <v>859</v>
      </c>
      <c r="P22" s="13">
        <v>1.1399999999999999</v>
      </c>
      <c r="Q22" s="13">
        <v>0.67</v>
      </c>
      <c r="R22" s="13">
        <v>1.04</v>
      </c>
      <c r="S22" s="13">
        <v>0.22</v>
      </c>
      <c r="U22" s="67" t="s">
        <v>741</v>
      </c>
      <c r="V22" s="67" t="s">
        <v>2293</v>
      </c>
      <c r="W22" s="542">
        <v>1.69729E-4</v>
      </c>
      <c r="X22" s="571">
        <v>0</v>
      </c>
      <c r="Y22" s="274"/>
      <c r="Z22" s="217" t="s">
        <v>1136</v>
      </c>
      <c r="AB22">
        <v>64724</v>
      </c>
      <c r="AC22" t="s">
        <v>357</v>
      </c>
      <c r="AD22" t="s">
        <v>1866</v>
      </c>
      <c r="AE22" t="s">
        <v>2162</v>
      </c>
      <c r="AF22" t="s">
        <v>1866</v>
      </c>
      <c r="AG22" t="s">
        <v>336</v>
      </c>
      <c r="AI22" t="s">
        <v>357</v>
      </c>
      <c r="AK22">
        <v>100</v>
      </c>
      <c r="AL22" s="458">
        <f t="shared" si="0"/>
        <v>0.98709999999999998</v>
      </c>
      <c r="AM22" s="459">
        <v>0.98819999999999997</v>
      </c>
      <c r="AN22" s="459">
        <v>0.98670000000000002</v>
      </c>
      <c r="AO22" s="459">
        <v>0.98629999999999995</v>
      </c>
      <c r="AP22" s="460">
        <v>0.98229999999999995</v>
      </c>
      <c r="AQ22" s="459"/>
      <c r="AR22" s="459"/>
      <c r="AS22" s="459"/>
      <c r="AU22" t="s">
        <v>1269</v>
      </c>
      <c r="AV22" t="e">
        <f>X02S03F24</f>
        <v>#REF!</v>
      </c>
      <c r="AW22" t="e">
        <f>X02S03F25</f>
        <v>#REF!</v>
      </c>
      <c r="AX22" t="e">
        <f>X02S03F26</f>
        <v>#REF!</v>
      </c>
      <c r="AY22" t="e">
        <f>X02S03F27</f>
        <v>#REF!</v>
      </c>
      <c r="AZ22" t="e">
        <f>X02S03F28</f>
        <v>#REF!</v>
      </c>
      <c r="BA22" t="e">
        <f>X02S03F12</f>
        <v>#REF!</v>
      </c>
      <c r="BB22" t="e">
        <f>X02S03F13</f>
        <v>#REF!</v>
      </c>
      <c r="BC22" t="e">
        <f>X02S03F15</f>
        <v>#REF!</v>
      </c>
      <c r="BD22" t="e">
        <f>X02S03F16</f>
        <v>#REF!</v>
      </c>
      <c r="BE22" t="s">
        <v>1274</v>
      </c>
      <c r="BF22" t="s">
        <v>30</v>
      </c>
    </row>
    <row r="23" spans="1:58">
      <c r="A23" t="s">
        <v>38</v>
      </c>
      <c r="C23" t="s">
        <v>64</v>
      </c>
      <c r="D23" t="s">
        <v>65</v>
      </c>
      <c r="F23" t="s">
        <v>257</v>
      </c>
      <c r="G23" t="s">
        <v>258</v>
      </c>
      <c r="H23" t="s">
        <v>2011</v>
      </c>
      <c r="J23" t="s">
        <v>2297</v>
      </c>
      <c r="K23" t="s">
        <v>1530</v>
      </c>
      <c r="L23" t="s">
        <v>91</v>
      </c>
      <c r="M23" t="s">
        <v>1359</v>
      </c>
      <c r="O23" t="s">
        <v>324</v>
      </c>
      <c r="P23" s="13">
        <v>1.1299999999999999</v>
      </c>
      <c r="Q23" s="13">
        <v>0.65500000000000003</v>
      </c>
      <c r="R23" s="13">
        <v>1.24</v>
      </c>
      <c r="S23" s="13">
        <v>0.22</v>
      </c>
      <c r="U23" s="67" t="s">
        <v>742</v>
      </c>
      <c r="V23" s="67" t="s">
        <v>2293</v>
      </c>
      <c r="W23" s="542">
        <v>4.5176359999999998E-4</v>
      </c>
      <c r="X23" s="543">
        <v>0.3</v>
      </c>
      <c r="Y23" s="274"/>
      <c r="Z23" s="217" t="s">
        <v>1137</v>
      </c>
      <c r="AB23">
        <v>64725</v>
      </c>
      <c r="AC23" t="s">
        <v>359</v>
      </c>
      <c r="AD23" t="s">
        <v>1866</v>
      </c>
      <c r="AE23" t="s">
        <v>468</v>
      </c>
      <c r="AF23" t="s">
        <v>1866</v>
      </c>
      <c r="AG23" t="s">
        <v>336</v>
      </c>
      <c r="AI23" t="s">
        <v>359</v>
      </c>
      <c r="AK23">
        <v>112.5</v>
      </c>
      <c r="AL23" s="460">
        <v>0.98709999999999998</v>
      </c>
      <c r="AM23" s="459"/>
      <c r="AN23" s="459"/>
      <c r="AO23" s="459"/>
      <c r="AP23" s="458">
        <f t="shared" si="1"/>
        <v>0.98440000000000005</v>
      </c>
      <c r="AQ23" s="459">
        <v>0.98519999999999996</v>
      </c>
      <c r="AR23" s="459">
        <v>0.98360000000000003</v>
      </c>
      <c r="AS23" s="459"/>
      <c r="AU23" t="s">
        <v>1273</v>
      </c>
      <c r="AV23" t="str">
        <f>""</f>
        <v/>
      </c>
      <c r="AW23" t="str">
        <f>""</f>
        <v/>
      </c>
      <c r="AX23" t="str">
        <f>""</f>
        <v/>
      </c>
      <c r="AY23" t="str">
        <f>""</f>
        <v/>
      </c>
      <c r="AZ23" t="str">
        <f>""</f>
        <v/>
      </c>
      <c r="BA23" t="str">
        <f>""</f>
        <v/>
      </c>
      <c r="BB23" t="str">
        <f>""</f>
        <v/>
      </c>
      <c r="BC23" t="str">
        <f>""</f>
        <v/>
      </c>
      <c r="BD23" t="str">
        <f>""</f>
        <v/>
      </c>
      <c r="BE23" t="s">
        <v>1259</v>
      </c>
      <c r="BF23" t="s">
        <v>30</v>
      </c>
    </row>
    <row r="24" spans="1:58">
      <c r="A24" t="s">
        <v>1359</v>
      </c>
      <c r="C24" t="s">
        <v>60</v>
      </c>
      <c r="D24" t="s">
        <v>61</v>
      </c>
      <c r="F24" s="32" t="s">
        <v>1252</v>
      </c>
      <c r="G24" s="32" t="s">
        <v>899</v>
      </c>
      <c r="J24" s="198" t="b" cm="1">
        <f t="array" ref="J24">Excel_Ack[Acknowledge]</f>
        <v>0</v>
      </c>
      <c r="K24" s="198" t="str">
        <f>IF(Excel_Ack_Compl[[#This Row],[Acknowledge]]=TRUE, IF(ACTIVECOMPL="Yes", "'M05-S05'!A1", ""), "'M01-S02'!A1")</f>
        <v>'M01-S02'!A1</v>
      </c>
      <c r="L24" s="198" t="str">
        <f>IF(Excel_Ack_Compl[[#This Row],[Acknowledge]]=TRUE, IF(ACTIVECOMPL_N="Yes", "'N05-S05'!A1", ""), "'N01-S02'!A1")</f>
        <v>'N01-S02'!A1</v>
      </c>
      <c r="M24" s="198" t="str">
        <f>IF(Excel_Ack_Compl[[#This Row],[Acknowledge]]=TRUE, IF(ACTIVECOMPL_X="Yes", "'X05-S05'!A1", ""), "'X01-S02'!A1")</f>
        <v>'X01-S02'!A1</v>
      </c>
      <c r="O24" t="s">
        <v>1907</v>
      </c>
      <c r="P24" s="13">
        <v>1.08</v>
      </c>
      <c r="Q24" s="13">
        <v>0.67</v>
      </c>
      <c r="R24" s="13">
        <v>1.3</v>
      </c>
      <c r="S24" s="13">
        <v>0.45</v>
      </c>
      <c r="U24" s="67" t="s">
        <v>195</v>
      </c>
      <c r="V24" s="67" t="s">
        <v>2293</v>
      </c>
      <c r="W24" s="542">
        <v>1.379439E-4</v>
      </c>
      <c r="X24" s="543">
        <v>0.08</v>
      </c>
      <c r="Y24" s="274"/>
      <c r="Z24" s="217" t="s">
        <v>1142</v>
      </c>
      <c r="AB24">
        <v>65603</v>
      </c>
      <c r="AC24" t="s">
        <v>361</v>
      </c>
      <c r="AD24" t="s">
        <v>1866</v>
      </c>
      <c r="AE24" t="s">
        <v>575</v>
      </c>
      <c r="AF24" t="s">
        <v>1866</v>
      </c>
      <c r="AG24" t="s">
        <v>336</v>
      </c>
      <c r="AI24" t="s">
        <v>361</v>
      </c>
      <c r="AK24">
        <v>150</v>
      </c>
      <c r="AL24" s="460">
        <v>0.98709999999999998</v>
      </c>
      <c r="AM24" s="459"/>
      <c r="AN24" s="459"/>
      <c r="AO24" s="459"/>
      <c r="AP24" s="458">
        <f t="shared" si="1"/>
        <v>0.98580000000000001</v>
      </c>
      <c r="AQ24" s="459">
        <v>0.98650000000000004</v>
      </c>
      <c r="AR24" s="459">
        <v>0.98510000000000009</v>
      </c>
      <c r="AS24" s="459"/>
    </row>
    <row r="25" spans="1:58">
      <c r="A25" t="s">
        <v>1765</v>
      </c>
      <c r="C25" t="s">
        <v>72</v>
      </c>
      <c r="D25" t="s">
        <v>73</v>
      </c>
      <c r="F25" t="s">
        <v>1196</v>
      </c>
      <c r="G25">
        <v>0.17119999999999999</v>
      </c>
      <c r="H25" t="s">
        <v>1978</v>
      </c>
      <c r="O25" t="s">
        <v>861</v>
      </c>
      <c r="P25" s="13">
        <v>1.02</v>
      </c>
      <c r="Q25" s="13">
        <v>0.64</v>
      </c>
      <c r="R25" s="13">
        <v>1.04</v>
      </c>
      <c r="S25" s="13">
        <v>0.45</v>
      </c>
      <c r="U25" s="67" t="s">
        <v>761</v>
      </c>
      <c r="V25" s="67" t="s">
        <v>2293</v>
      </c>
      <c r="W25" s="542">
        <v>1.6543880000000001E-4</v>
      </c>
      <c r="X25" s="543">
        <v>0.15</v>
      </c>
      <c r="Y25" s="275"/>
      <c r="Z25" s="217" t="s">
        <v>1138</v>
      </c>
      <c r="AB25">
        <v>65230</v>
      </c>
      <c r="AC25" t="s">
        <v>363</v>
      </c>
      <c r="AD25" t="s">
        <v>1866</v>
      </c>
      <c r="AE25" t="s">
        <v>644</v>
      </c>
      <c r="AF25" t="s">
        <v>1866</v>
      </c>
      <c r="AG25" t="s">
        <v>336</v>
      </c>
      <c r="AI25" t="s">
        <v>363</v>
      </c>
      <c r="AK25">
        <v>167</v>
      </c>
      <c r="AL25" s="458">
        <f t="shared" si="0"/>
        <v>0.98860000000000003</v>
      </c>
      <c r="AM25" s="459">
        <v>0.98959999999999992</v>
      </c>
      <c r="AN25" s="459">
        <v>0.98829999999999996</v>
      </c>
      <c r="AO25" s="459">
        <v>0.98799999999999999</v>
      </c>
      <c r="AP25" s="460">
        <v>0.98580000000000001</v>
      </c>
      <c r="AQ25" s="459"/>
      <c r="AR25" s="459"/>
      <c r="AS25" s="459"/>
      <c r="AU25" t="s">
        <v>172</v>
      </c>
      <c r="AV25" t="s">
        <v>19</v>
      </c>
      <c r="AW25" t="s">
        <v>13</v>
      </c>
      <c r="AX25" t="s">
        <v>8</v>
      </c>
      <c r="AY25" t="s">
        <v>9</v>
      </c>
      <c r="AZ25" t="s">
        <v>17</v>
      </c>
      <c r="BA25" t="s">
        <v>168</v>
      </c>
      <c r="BB25" t="s">
        <v>169</v>
      </c>
      <c r="BC25" t="s">
        <v>167</v>
      </c>
      <c r="BD25" t="s">
        <v>53</v>
      </c>
      <c r="BE25" t="s">
        <v>171</v>
      </c>
      <c r="BF25" t="s">
        <v>274</v>
      </c>
    </row>
    <row r="26" spans="1:58">
      <c r="A26" t="s">
        <v>1066</v>
      </c>
      <c r="C26" t="s">
        <v>68</v>
      </c>
      <c r="D26" t="s">
        <v>69</v>
      </c>
      <c r="F26" t="s">
        <v>1197</v>
      </c>
      <c r="G26">
        <v>0.14130000000000001</v>
      </c>
      <c r="H26" t="s">
        <v>1978</v>
      </c>
      <c r="O26" t="s">
        <v>860</v>
      </c>
      <c r="P26" s="13">
        <v>1.1100000000000001</v>
      </c>
      <c r="Q26" s="13">
        <v>0.53</v>
      </c>
      <c r="R26" s="13">
        <v>1.38</v>
      </c>
      <c r="S26" s="13">
        <v>0.22</v>
      </c>
      <c r="U26" s="67" t="s">
        <v>49</v>
      </c>
      <c r="V26" s="67" t="s">
        <v>2293</v>
      </c>
      <c r="W26" s="542">
        <v>2.0772379999999999E-4</v>
      </c>
      <c r="X26" s="543">
        <v>0.19</v>
      </c>
      <c r="Y26" s="274"/>
      <c r="Z26" s="217" t="s">
        <v>1139</v>
      </c>
      <c r="AB26">
        <v>65320</v>
      </c>
      <c r="AC26" t="s">
        <v>366</v>
      </c>
      <c r="AD26" t="s">
        <v>1866</v>
      </c>
      <c r="AE26" t="s">
        <v>715</v>
      </c>
      <c r="AF26" t="s">
        <v>1866</v>
      </c>
      <c r="AG26" t="s">
        <v>336</v>
      </c>
      <c r="AI26" t="s">
        <v>366</v>
      </c>
      <c r="AK26">
        <v>225</v>
      </c>
      <c r="AL26" s="460">
        <v>0.98860000000000003</v>
      </c>
      <c r="AM26" s="459"/>
      <c r="AN26" s="459"/>
      <c r="AO26" s="459"/>
      <c r="AP26" s="458">
        <f t="shared" si="1"/>
        <v>0.9869</v>
      </c>
      <c r="AQ26" s="459">
        <v>0.98819999999999997</v>
      </c>
      <c r="AR26" s="459">
        <v>0.9869</v>
      </c>
      <c r="AS26" s="459">
        <v>0.98569999999999991</v>
      </c>
      <c r="AU26" t="s">
        <v>1740</v>
      </c>
      <c r="AV26" t="str">
        <f>IF(N05S01F15="Trade Ally / General Contractor",N02S02F01,
IF(N05S01F15="Architect",N02S02F11,
IF(N05S01F15="Mechanical Engineer",N02S02F21,
IF(N05S01F15="Electrical Engineer",N02S02F31,
IF(N05S01F15="Additional Contact 1",N02S02F41,
IF(N05S01F15="Additional Contact 2",N02S02F51,
""))))))</f>
        <v/>
      </c>
      <c r="AW26" t="str">
        <f>IF(N05S01F15="Trade Ally / General Contractor",N02S02F02,
IF(N05S01F15="Architect",N02S02F12,
IF(N05S01F15="Mechanical Engineer",N02S02F22,
IF(N05S01F15="Electrical Engineer",N02S02F32,
IF(N05S01F15="Additional Contact 1",N02S02F42,
IF(N05S01F15="Additional Contact 2",N02S02F52,
""))))))</f>
        <v/>
      </c>
      <c r="AX26" t="str">
        <f>IF(N05S01F15="Trade Ally / General Contractor",N02S02F03,
IF(N05S01F15="Architect",N02S02F13,
IF(N05S01F15="Mechanical Engineer",N02S02F23,
IF(N05S01F15="Electrical Engineer",N02S02F33,
IF(N05S01F15="Additional Contact 1",N02S02F43,
IF(N05S01F15="Additional Contact 2",N02S02F53,
""))))))</f>
        <v/>
      </c>
      <c r="AY26" t="str">
        <f>IF(N05S01F15="Trade Ally / General Contractor",N02S02F04,
IF(N05S01F15="Architect",N02S02F14,
IF(N05S01F15="Mechanical Engineer",N02S02F24,
IF(N05S01F15="Electrical Engineer",N02S02F34,
IF(N05S01F15="Additional Contact 1",N02S02F44,
IF(N05S01F15="Additional Contact 2",N02S02F54,
""))))))</f>
        <v/>
      </c>
      <c r="AZ26" t="str">
        <f>IF(N05S01F15="Trade Ally / General Contractor",N02S02F05,
IF(N05S01F15="Architect",N02S02F15,
IF(N05S01F15="Mechanical Engineer",N02S02F25,
IF(N05S01F15="Electrical Engineer",N02S02F35,
IF(N05S01F15="Additional Contact 1",N02S02F45,
IF(N05S01F15="Additional Contact 2",N02S02F55,
""))))))</f>
        <v/>
      </c>
      <c r="BA26" t="str">
        <f>IF(N05S01F15="Trade Ally / General Contractor",N02S02F06,
IF(N05S01F15="Architect",N02S02F16,
IF(N05S01F15="Mechanical Engineer",N02S02F26,
IF(N05S01F15="Electrical Engineer",N02S02F36,
IF(N05S01F15="Additional Contact 1",N02S02F46,
IF(N05S01F15="Additional Contact 2",N02S02F56,
""))))))</f>
        <v/>
      </c>
      <c r="BB26" t="str">
        <f>IF(N05S01F15="Trade Ally / General Contractor",N02S02F07,
IF(N05S01F15="Architect",N02S02F17,
IF(N05S01F15="Mechanical Engineer",N02S02F27,
IF(N05S01F15="Electrical Engineer",N02S02F37,
IF(N05S01F15="Additional Contact 1",N02S02F47,
IF(N05S01F15="Additional Contact 2",N02S02F57,
""))))))</f>
        <v/>
      </c>
      <c r="BC26" t="str">
        <f>IF(N05S01F15="Trade Ally / General Contractor",N02S02F09,
IF(N05S01F15="Architect",N02S02F19,
IF(N05S01F15="Mechanical Engineer",N02S02F29,
IF(N05S01F15="Electrical Engineer",N02S02F39,
IF(N05S01F15="Additional Contact 1",N02S02F49,
IF(N05S01F15="Additional Contact 2",N02S02F59,
""))))))</f>
        <v/>
      </c>
      <c r="BD26" t="str">
        <f>IF(N05S01F15="Trade Ally / General Contractor",N02S02F10,
IF(N05S01F15="Architect",N02S02F20,
IF(N05S01F15="Mechanical Engineer",N02S02F30,
IF(N05S01F15="Electrical Engineer",N02S02F40,
IF(N05S01F15="Additional Contact 1",N02S02F50,
IF(N05S01F15="Additional Contact 2",N02S02F60,
""))))))</f>
        <v/>
      </c>
      <c r="BE26" t="s">
        <v>1257</v>
      </c>
      <c r="BF26" t="s">
        <v>1157</v>
      </c>
    </row>
    <row r="27" spans="1:58">
      <c r="C27" t="s">
        <v>76</v>
      </c>
      <c r="D27" t="s">
        <v>77</v>
      </c>
      <c r="F27" t="s">
        <v>1198</v>
      </c>
      <c r="G27">
        <v>0.1212</v>
      </c>
      <c r="H27" t="s">
        <v>1978</v>
      </c>
      <c r="O27" t="s">
        <v>920</v>
      </c>
      <c r="P27" s="13">
        <v>1.155</v>
      </c>
      <c r="Q27" s="13">
        <v>0.76</v>
      </c>
      <c r="R27" s="13">
        <v>1.2</v>
      </c>
      <c r="S27" s="13">
        <v>0.22</v>
      </c>
      <c r="U27" s="67" t="s">
        <v>29</v>
      </c>
      <c r="V27" s="67" t="s">
        <v>2293</v>
      </c>
      <c r="W27" s="542">
        <v>8.0642000000000005E-5</v>
      </c>
      <c r="X27" s="543">
        <v>0.09</v>
      </c>
      <c r="Y27" s="274"/>
      <c r="Z27" s="217" t="s">
        <v>1140</v>
      </c>
      <c r="AB27">
        <v>64832</v>
      </c>
      <c r="AC27" t="s">
        <v>364</v>
      </c>
      <c r="AD27" t="s">
        <v>1866</v>
      </c>
      <c r="AE27" t="s">
        <v>365</v>
      </c>
      <c r="AF27" t="s">
        <v>1866</v>
      </c>
      <c r="AG27" t="s">
        <v>336</v>
      </c>
      <c r="AI27" t="s">
        <v>364</v>
      </c>
      <c r="AK27">
        <v>250</v>
      </c>
      <c r="AL27" s="458">
        <f t="shared" si="0"/>
        <v>0.98980000000000001</v>
      </c>
      <c r="AM27" s="459">
        <v>0.99069999999999991</v>
      </c>
      <c r="AN27" s="459">
        <v>0.98950000000000005</v>
      </c>
      <c r="AO27" s="459">
        <v>0.98909999999999998</v>
      </c>
      <c r="AP27" s="460">
        <v>0.9869</v>
      </c>
      <c r="AQ27" s="459"/>
      <c r="AR27" s="459"/>
      <c r="AS27" s="459"/>
      <c r="AU27" t="s">
        <v>1271</v>
      </c>
      <c r="AV27">
        <f>N02S03F01</f>
        <v>0</v>
      </c>
      <c r="AW27">
        <f>N02S03F02</f>
        <v>0</v>
      </c>
      <c r="AX27">
        <f>N02S03F03</f>
        <v>0</v>
      </c>
      <c r="AY27">
        <f>N02S03F04</f>
        <v>0</v>
      </c>
      <c r="AZ27">
        <f>N02S03F05</f>
        <v>0</v>
      </c>
      <c r="BA27">
        <f>N02S03F06</f>
        <v>0</v>
      </c>
      <c r="BB27">
        <f>N02S03F07</f>
        <v>0</v>
      </c>
      <c r="BC27">
        <f>N02S03F09</f>
        <v>0</v>
      </c>
      <c r="BD27">
        <f>N02S03F10</f>
        <v>0</v>
      </c>
      <c r="BE27" t="s">
        <v>1258</v>
      </c>
      <c r="BF27" t="s">
        <v>170</v>
      </c>
    </row>
    <row r="28" spans="1:58">
      <c r="A28" t="s">
        <v>1154</v>
      </c>
      <c r="C28" t="s">
        <v>80</v>
      </c>
      <c r="D28" t="s">
        <v>81</v>
      </c>
      <c r="F28" t="s">
        <v>1199</v>
      </c>
      <c r="G28">
        <v>9.9599999999999994E-2</v>
      </c>
      <c r="H28" t="s">
        <v>1978</v>
      </c>
      <c r="O28" s="36" t="s">
        <v>1963</v>
      </c>
      <c r="P28" s="13">
        <v>1.06</v>
      </c>
      <c r="Q28">
        <v>0.65</v>
      </c>
      <c r="R28" s="13">
        <v>1.0900000000000001</v>
      </c>
      <c r="S28" s="13">
        <v>0.22</v>
      </c>
      <c r="U28" t="s">
        <v>51</v>
      </c>
      <c r="V28" s="67" t="s">
        <v>2293</v>
      </c>
      <c r="W28" s="542">
        <v>1.811545E-4</v>
      </c>
      <c r="X28" s="543">
        <v>0.11</v>
      </c>
      <c r="Y28" s="40"/>
      <c r="Z28" s="217" t="s">
        <v>1143</v>
      </c>
      <c r="AB28">
        <v>64037</v>
      </c>
      <c r="AC28" t="s">
        <v>369</v>
      </c>
      <c r="AD28" t="s">
        <v>1866</v>
      </c>
      <c r="AE28" t="s">
        <v>698</v>
      </c>
      <c r="AF28" t="s">
        <v>1866</v>
      </c>
      <c r="AG28" t="s">
        <v>336</v>
      </c>
      <c r="AI28" t="s">
        <v>369</v>
      </c>
      <c r="AK28">
        <v>300</v>
      </c>
      <c r="AL28" s="460">
        <v>0.98980000000000001</v>
      </c>
      <c r="AM28" s="459"/>
      <c r="AN28" s="459"/>
      <c r="AO28" s="459"/>
      <c r="AP28" s="458">
        <f t="shared" si="1"/>
        <v>0.98809999999999998</v>
      </c>
      <c r="AQ28" s="459">
        <v>0.98930000000000007</v>
      </c>
      <c r="AR28" s="459">
        <v>0.98809999999999998</v>
      </c>
      <c r="AS28" s="459">
        <v>0.9869</v>
      </c>
      <c r="AU28" t="s">
        <v>1270</v>
      </c>
      <c r="AV28">
        <f>N02S03F15</f>
        <v>0</v>
      </c>
      <c r="AW28">
        <f>N02S03F16</f>
        <v>0</v>
      </c>
      <c r="AX28">
        <f>N02S03F17</f>
        <v>0</v>
      </c>
      <c r="AY28" t="str">
        <f>N02S03F18</f>
        <v>MO</v>
      </c>
      <c r="AZ28">
        <f>N02S03F19</f>
        <v>0</v>
      </c>
      <c r="BA28" t="str">
        <f>N02S03F21</f>
        <v/>
      </c>
      <c r="BB28" t="str">
        <f>N02S03F22</f>
        <v/>
      </c>
      <c r="BC28" t="str">
        <f>N02S03F24</f>
        <v/>
      </c>
      <c r="BD28" t="str">
        <f>N02S03F25</f>
        <v/>
      </c>
      <c r="BE28" t="s">
        <v>1259</v>
      </c>
      <c r="BF28" t="s">
        <v>170</v>
      </c>
    </row>
    <row r="29" spans="1:58">
      <c r="A29" t="s">
        <v>302</v>
      </c>
      <c r="C29" t="s">
        <v>84</v>
      </c>
      <c r="D29" t="s">
        <v>85</v>
      </c>
      <c r="F29" s="32" t="s">
        <v>1253</v>
      </c>
      <c r="G29" s="32" t="s">
        <v>899</v>
      </c>
      <c r="O29" s="36" t="s">
        <v>862</v>
      </c>
      <c r="P29" s="13">
        <v>1.06</v>
      </c>
      <c r="Q29" s="13">
        <v>0.6</v>
      </c>
      <c r="R29" s="13">
        <v>1.65</v>
      </c>
      <c r="S29" s="13">
        <v>0.22</v>
      </c>
      <c r="AB29">
        <v>64725</v>
      </c>
      <c r="AC29" t="s">
        <v>371</v>
      </c>
      <c r="AD29" t="s">
        <v>1866</v>
      </c>
      <c r="AE29" t="s">
        <v>468</v>
      </c>
      <c r="AF29" t="s">
        <v>1866</v>
      </c>
      <c r="AG29" t="s">
        <v>336</v>
      </c>
      <c r="AI29" t="s">
        <v>371</v>
      </c>
      <c r="AK29">
        <v>333</v>
      </c>
      <c r="AL29" s="458">
        <f t="shared" si="0"/>
        <v>0.99050000000000005</v>
      </c>
      <c r="AM29" s="459">
        <v>0.99140000000000006</v>
      </c>
      <c r="AN29" s="459">
        <v>0.99029999999999996</v>
      </c>
      <c r="AO29" s="459">
        <v>0.9899</v>
      </c>
      <c r="AP29" s="460">
        <v>0.98809999999999998</v>
      </c>
      <c r="AQ29" s="459"/>
      <c r="AR29" s="459"/>
      <c r="AS29" s="459"/>
      <c r="AU29" t="s">
        <v>1269</v>
      </c>
      <c r="AV29">
        <f>N02S03F15</f>
        <v>0</v>
      </c>
      <c r="AW29">
        <f>N02S03F16</f>
        <v>0</v>
      </c>
      <c r="AX29">
        <f>N02S03F17</f>
        <v>0</v>
      </c>
      <c r="AY29" t="str">
        <f>N02S03F18</f>
        <v>MO</v>
      </c>
      <c r="AZ29">
        <f>N02S03F19</f>
        <v>0</v>
      </c>
      <c r="BA29" t="str">
        <f>N02S03F21</f>
        <v/>
      </c>
      <c r="BB29" t="str">
        <f>N02S03F22</f>
        <v/>
      </c>
      <c r="BC29" t="str">
        <f>N02S03F24</f>
        <v/>
      </c>
      <c r="BD29" t="str">
        <f>N02S03F25</f>
        <v/>
      </c>
      <c r="BE29" t="s">
        <v>1274</v>
      </c>
      <c r="BF29" t="s">
        <v>30</v>
      </c>
    </row>
    <row r="30" spans="1:58">
      <c r="A30" t="s">
        <v>303</v>
      </c>
      <c r="C30" s="23" t="s">
        <v>2261</v>
      </c>
      <c r="D30" s="23" t="s">
        <v>2262</v>
      </c>
      <c r="F30" t="s">
        <v>1200</v>
      </c>
      <c r="G30">
        <v>0.1552</v>
      </c>
      <c r="H30" t="s">
        <v>1979</v>
      </c>
      <c r="O30" s="36" t="s">
        <v>863</v>
      </c>
      <c r="P30" s="13">
        <v>1.1000000000000001</v>
      </c>
      <c r="Q30" s="13">
        <v>0.52</v>
      </c>
      <c r="R30" s="13">
        <v>1.26</v>
      </c>
      <c r="S30" s="13">
        <v>0.22</v>
      </c>
      <c r="AB30">
        <v>64601</v>
      </c>
      <c r="AC30" t="s">
        <v>373</v>
      </c>
      <c r="AD30" t="s">
        <v>1866</v>
      </c>
      <c r="AE30" t="s">
        <v>706</v>
      </c>
      <c r="AF30" t="s">
        <v>1866</v>
      </c>
      <c r="AG30" t="s">
        <v>336</v>
      </c>
      <c r="AI30" t="s">
        <v>373</v>
      </c>
      <c r="AK30">
        <v>500</v>
      </c>
      <c r="AL30" s="458">
        <f t="shared" si="0"/>
        <v>0.99139999999999995</v>
      </c>
      <c r="AM30" s="459">
        <v>0.99219999999999997</v>
      </c>
      <c r="AN30" s="459">
        <v>0.99120000000000008</v>
      </c>
      <c r="AO30" s="459">
        <v>0.9909</v>
      </c>
      <c r="AP30" s="458">
        <f t="shared" si="1"/>
        <v>0.9899</v>
      </c>
      <c r="AQ30" s="459">
        <v>0.9909</v>
      </c>
      <c r="AR30" s="459">
        <v>0.9899</v>
      </c>
      <c r="AS30" s="459">
        <v>0.9889</v>
      </c>
      <c r="AU30" t="s">
        <v>1273</v>
      </c>
      <c r="AV30" t="str">
        <f>""</f>
        <v/>
      </c>
      <c r="AW30" t="str">
        <f>""</f>
        <v/>
      </c>
      <c r="AX30" t="str">
        <f>""</f>
        <v/>
      </c>
      <c r="AY30" t="str">
        <f>""</f>
        <v/>
      </c>
      <c r="AZ30" t="str">
        <f>""</f>
        <v/>
      </c>
      <c r="BA30" t="str">
        <f>""</f>
        <v/>
      </c>
      <c r="BB30" t="str">
        <f>""</f>
        <v/>
      </c>
      <c r="BC30" t="str">
        <f>""</f>
        <v/>
      </c>
      <c r="BD30" t="str">
        <f>""</f>
        <v/>
      </c>
      <c r="BE30" t="s">
        <v>1259</v>
      </c>
      <c r="BF30" t="s">
        <v>30</v>
      </c>
    </row>
    <row r="31" spans="1:58">
      <c r="A31" t="s">
        <v>304</v>
      </c>
      <c r="C31" t="s">
        <v>88</v>
      </c>
      <c r="D31" t="s">
        <v>89</v>
      </c>
      <c r="F31" t="s">
        <v>1201</v>
      </c>
      <c r="G31">
        <v>9.5799999999999996E-2</v>
      </c>
      <c r="H31" t="s">
        <v>1979</v>
      </c>
      <c r="O31" s="36" t="s">
        <v>864</v>
      </c>
      <c r="P31" s="13">
        <v>1.25</v>
      </c>
      <c r="Q31" s="13">
        <v>0.69</v>
      </c>
      <c r="R31" s="13">
        <v>1.36</v>
      </c>
      <c r="S31" s="13">
        <v>0.22</v>
      </c>
      <c r="AB31">
        <v>64117</v>
      </c>
      <c r="AC31" t="s">
        <v>375</v>
      </c>
      <c r="AD31" t="s">
        <v>1866</v>
      </c>
      <c r="AE31" t="s">
        <v>523</v>
      </c>
      <c r="AF31" t="s">
        <v>1866</v>
      </c>
      <c r="AG31" t="s">
        <v>336</v>
      </c>
      <c r="AI31" t="s">
        <v>375</v>
      </c>
      <c r="AK31">
        <v>500</v>
      </c>
      <c r="AL31" s="458">
        <f t="shared" si="0"/>
        <v>0.99139999999999995</v>
      </c>
      <c r="AM31" s="459">
        <v>0.99219999999999997</v>
      </c>
      <c r="AN31" s="459">
        <v>0.99120000000000008</v>
      </c>
      <c r="AO31" s="459">
        <v>0.9909</v>
      </c>
      <c r="AP31" s="460">
        <v>0.9899</v>
      </c>
      <c r="AQ31" s="459"/>
      <c r="AR31" s="459"/>
      <c r="AS31" s="459"/>
    </row>
    <row r="32" spans="1:58">
      <c r="A32" t="s">
        <v>1152</v>
      </c>
      <c r="C32" t="s">
        <v>92</v>
      </c>
      <c r="D32" t="s">
        <v>93</v>
      </c>
      <c r="F32" t="s">
        <v>1202</v>
      </c>
      <c r="G32">
        <v>8.0299999999999996E-2</v>
      </c>
      <c r="H32" t="s">
        <v>1979</v>
      </c>
      <c r="O32" s="36" t="s">
        <v>30</v>
      </c>
      <c r="P32" s="13">
        <v>1.0900000000000001</v>
      </c>
      <c r="Q32" s="13">
        <v>0.73</v>
      </c>
      <c r="R32" s="13">
        <v>1.36</v>
      </c>
      <c r="S32" s="13">
        <v>0.22</v>
      </c>
      <c r="AB32">
        <v>65350</v>
      </c>
      <c r="AC32" t="s">
        <v>377</v>
      </c>
      <c r="AD32" t="s">
        <v>1866</v>
      </c>
      <c r="AE32" t="s">
        <v>711</v>
      </c>
      <c r="AF32" t="s">
        <v>1866</v>
      </c>
      <c r="AG32" t="s">
        <v>336</v>
      </c>
      <c r="AI32" t="s">
        <v>377</v>
      </c>
      <c r="AK32">
        <v>667</v>
      </c>
      <c r="AL32" s="458">
        <f t="shared" si="0"/>
        <v>0.99199999999999999</v>
      </c>
      <c r="AM32" s="459">
        <v>0.99269999999999992</v>
      </c>
      <c r="AN32" s="459">
        <v>0.99180000000000001</v>
      </c>
      <c r="AO32" s="459">
        <v>0.99150000000000005</v>
      </c>
      <c r="AP32" s="460">
        <v>0.9899</v>
      </c>
      <c r="AQ32" s="459"/>
      <c r="AR32" s="459"/>
      <c r="AS32" s="459"/>
    </row>
    <row r="33" spans="1:45">
      <c r="A33" t="s">
        <v>2213</v>
      </c>
      <c r="C33" t="s">
        <v>96</v>
      </c>
      <c r="D33" t="s">
        <v>97</v>
      </c>
      <c r="O33" s="36" t="s">
        <v>931</v>
      </c>
      <c r="P33" s="13">
        <v>1.1200000000000001</v>
      </c>
      <c r="Q33" s="13">
        <v>0.48</v>
      </c>
      <c r="R33" s="13">
        <v>1.37</v>
      </c>
      <c r="S33" s="13">
        <v>0.22</v>
      </c>
      <c r="T33" s="13"/>
      <c r="U33" s="13"/>
      <c r="V33" s="13"/>
      <c r="W33" s="13"/>
      <c r="X33" s="13"/>
      <c r="Y33" s="13"/>
      <c r="Z33" s="13"/>
      <c r="AA33" s="13"/>
      <c r="AB33">
        <v>64080</v>
      </c>
      <c r="AC33" t="s">
        <v>2145</v>
      </c>
      <c r="AD33" t="s">
        <v>1866</v>
      </c>
      <c r="AE33" t="s">
        <v>468</v>
      </c>
      <c r="AF33" t="s">
        <v>1866</v>
      </c>
      <c r="AG33" t="s">
        <v>336</v>
      </c>
      <c r="AI33" t="s">
        <v>2145</v>
      </c>
      <c r="AK33">
        <v>750</v>
      </c>
      <c r="AL33" s="460">
        <v>0.99199999999999999</v>
      </c>
      <c r="AM33" s="459"/>
      <c r="AN33" s="459"/>
      <c r="AO33" s="459"/>
      <c r="AP33" s="458">
        <f t="shared" si="1"/>
        <v>0.99119999999999997</v>
      </c>
      <c r="AQ33" s="459">
        <v>0.99209999999999998</v>
      </c>
      <c r="AR33" s="459">
        <v>0.99120000000000008</v>
      </c>
      <c r="AS33" s="459">
        <v>0.99019999999999997</v>
      </c>
    </row>
    <row r="34" spans="1:45">
      <c r="C34" t="s">
        <v>100</v>
      </c>
      <c r="D34" t="s">
        <v>101</v>
      </c>
      <c r="O34" s="36" t="s">
        <v>865</v>
      </c>
      <c r="P34" s="13">
        <v>1.08</v>
      </c>
      <c r="Q34" s="13">
        <v>1</v>
      </c>
      <c r="R34" s="13">
        <v>1.1000000000000001</v>
      </c>
      <c r="S34" s="13">
        <v>0.22</v>
      </c>
      <c r="T34" s="13"/>
      <c r="U34" s="13"/>
      <c r="V34" s="13"/>
      <c r="W34" s="13"/>
      <c r="X34" s="13"/>
      <c r="Y34" s="13"/>
      <c r="Z34" s="13"/>
      <c r="AA34" s="13"/>
      <c r="AB34">
        <v>64423</v>
      </c>
      <c r="AC34" t="s">
        <v>379</v>
      </c>
      <c r="AD34" t="s">
        <v>1866</v>
      </c>
      <c r="AE34" t="s">
        <v>710</v>
      </c>
      <c r="AF34" t="s">
        <v>1866</v>
      </c>
      <c r="AG34" t="s">
        <v>336</v>
      </c>
      <c r="AI34" t="s">
        <v>379</v>
      </c>
      <c r="AK34">
        <v>833</v>
      </c>
      <c r="AL34" s="458">
        <f t="shared" si="0"/>
        <v>0.99250000000000005</v>
      </c>
      <c r="AM34" s="459">
        <v>0.99309999999999998</v>
      </c>
      <c r="AN34" s="459">
        <v>0.99230000000000007</v>
      </c>
      <c r="AO34" s="459">
        <v>0.99199999999999999</v>
      </c>
      <c r="AP34" s="460">
        <v>0.99119999999999997</v>
      </c>
      <c r="AQ34" s="459"/>
      <c r="AR34" s="459"/>
      <c r="AS34" s="459"/>
    </row>
    <row r="35" spans="1:45">
      <c r="C35" t="s">
        <v>116</v>
      </c>
      <c r="D35" t="s">
        <v>117</v>
      </c>
      <c r="O35" s="36" t="s">
        <v>866</v>
      </c>
      <c r="P35" s="13">
        <v>1.06</v>
      </c>
      <c r="Q35" s="13">
        <v>0.94</v>
      </c>
      <c r="R35" s="13">
        <v>1.06</v>
      </c>
      <c r="S35" s="13">
        <v>0.22</v>
      </c>
      <c r="T35" s="13"/>
      <c r="U35" s="13"/>
      <c r="V35" s="13"/>
      <c r="W35" s="13"/>
      <c r="X35" s="13"/>
      <c r="Y35" s="13"/>
      <c r="Z35" s="13"/>
      <c r="AA35" s="13"/>
      <c r="AB35">
        <v>64011</v>
      </c>
      <c r="AC35" t="s">
        <v>381</v>
      </c>
      <c r="AD35" t="s">
        <v>1866</v>
      </c>
      <c r="AE35" t="s">
        <v>698</v>
      </c>
      <c r="AF35" t="s">
        <v>1866</v>
      </c>
      <c r="AG35" t="s">
        <v>336</v>
      </c>
      <c r="AI35" t="s">
        <v>381</v>
      </c>
      <c r="AK35">
        <v>1000</v>
      </c>
      <c r="AL35" s="460">
        <v>0.99250000000000005</v>
      </c>
      <c r="AM35" s="459"/>
      <c r="AN35" s="459"/>
      <c r="AO35" s="459"/>
      <c r="AP35" s="458">
        <f t="shared" si="1"/>
        <v>0.99199999999999999</v>
      </c>
      <c r="AQ35" s="459">
        <v>0.99280000000000002</v>
      </c>
      <c r="AR35" s="459">
        <v>0.99199999999999999</v>
      </c>
      <c r="AS35" s="459">
        <v>0.99109999999999998</v>
      </c>
    </row>
    <row r="36" spans="1:45">
      <c r="A36" t="s">
        <v>894</v>
      </c>
      <c r="C36" t="s">
        <v>104</v>
      </c>
      <c r="D36" t="s">
        <v>105</v>
      </c>
      <c r="O36" s="36" t="s">
        <v>867</v>
      </c>
      <c r="P36" s="13">
        <v>1.1200000000000001</v>
      </c>
      <c r="Q36" s="13">
        <v>0.74</v>
      </c>
      <c r="R36" s="13">
        <v>1.29</v>
      </c>
      <c r="S36" s="13">
        <v>0.22</v>
      </c>
      <c r="T36" s="13"/>
      <c r="U36" s="13"/>
      <c r="V36" s="13"/>
      <c r="W36" s="13"/>
      <c r="X36" s="13"/>
      <c r="Y36" s="13"/>
      <c r="Z36" s="13"/>
      <c r="AA36" s="13"/>
      <c r="AB36">
        <v>65350</v>
      </c>
      <c r="AC36" t="s">
        <v>382</v>
      </c>
      <c r="AD36" t="s">
        <v>1866</v>
      </c>
      <c r="AE36" t="s">
        <v>711</v>
      </c>
      <c r="AF36" t="s">
        <v>1866</v>
      </c>
      <c r="AG36" t="s">
        <v>336</v>
      </c>
      <c r="AI36" t="s">
        <v>382</v>
      </c>
      <c r="AK36">
        <v>1500</v>
      </c>
      <c r="AL36" s="460">
        <v>0.99250000000000005</v>
      </c>
      <c r="AM36" s="459"/>
      <c r="AN36" s="459"/>
      <c r="AO36" s="459"/>
      <c r="AP36" s="458">
        <f t="shared" si="1"/>
        <v>0.9929</v>
      </c>
      <c r="AQ36" s="459">
        <v>0.99370000000000003</v>
      </c>
      <c r="AR36" s="459">
        <v>0.99299999999999999</v>
      </c>
      <c r="AS36" s="459">
        <v>0.99209999999999998</v>
      </c>
    </row>
    <row r="37" spans="1:45">
      <c r="A37" t="s">
        <v>1260</v>
      </c>
      <c r="C37" t="s">
        <v>108</v>
      </c>
      <c r="D37" t="s">
        <v>109</v>
      </c>
      <c r="O37" s="36" t="s">
        <v>855</v>
      </c>
      <c r="P37" s="13">
        <v>1.17</v>
      </c>
      <c r="Q37" s="13">
        <v>0.63</v>
      </c>
      <c r="R37" s="13">
        <v>1.33</v>
      </c>
      <c r="S37" s="13">
        <v>0.22</v>
      </c>
      <c r="T37" s="13"/>
      <c r="U37" s="13"/>
      <c r="V37" s="13"/>
      <c r="W37" s="13"/>
      <c r="X37" s="13"/>
      <c r="Y37" s="13"/>
      <c r="Z37" s="13"/>
      <c r="AA37" s="13"/>
      <c r="AB37">
        <v>64012</v>
      </c>
      <c r="AC37" t="s">
        <v>312</v>
      </c>
      <c r="AD37" t="s">
        <v>303</v>
      </c>
      <c r="AE37" t="s">
        <v>468</v>
      </c>
      <c r="AF37" t="s">
        <v>1866</v>
      </c>
      <c r="AG37" t="s">
        <v>1866</v>
      </c>
      <c r="AI37" t="s">
        <v>312</v>
      </c>
      <c r="AK37">
        <v>2000</v>
      </c>
      <c r="AL37" s="460">
        <v>0.99250000000000005</v>
      </c>
      <c r="AM37" s="459"/>
      <c r="AN37" s="459"/>
      <c r="AO37" s="459"/>
      <c r="AP37" s="458">
        <f t="shared" si="1"/>
        <v>0.99360000000000004</v>
      </c>
      <c r="AQ37" s="459">
        <v>0.99430000000000007</v>
      </c>
      <c r="AR37" s="459">
        <v>0.99360000000000004</v>
      </c>
      <c r="AS37" s="459">
        <v>0.99280000000000002</v>
      </c>
    </row>
    <row r="38" spans="1:45">
      <c r="A38" t="s">
        <v>1261</v>
      </c>
      <c r="C38" t="s">
        <v>112</v>
      </c>
      <c r="D38" t="s">
        <v>113</v>
      </c>
      <c r="O38" s="36" t="s">
        <v>853</v>
      </c>
      <c r="P38" s="13">
        <v>1.02</v>
      </c>
      <c r="Q38" s="13">
        <v>0.63</v>
      </c>
      <c r="R38" s="13">
        <v>1.54</v>
      </c>
      <c r="S38" s="13">
        <v>0.22</v>
      </c>
      <c r="T38" s="13"/>
      <c r="U38" s="13"/>
      <c r="V38" s="13"/>
      <c r="W38" s="13"/>
      <c r="X38" s="13"/>
      <c r="Y38" s="13"/>
      <c r="Z38" s="13"/>
      <c r="AA38" s="13"/>
      <c r="AB38">
        <v>64424</v>
      </c>
      <c r="AC38" t="s">
        <v>384</v>
      </c>
      <c r="AD38" t="s">
        <v>306</v>
      </c>
      <c r="AE38" t="s">
        <v>614</v>
      </c>
      <c r="AF38" t="s">
        <v>1866</v>
      </c>
      <c r="AG38" t="s">
        <v>1866</v>
      </c>
      <c r="AI38" t="s">
        <v>384</v>
      </c>
      <c r="AK38">
        <v>2500</v>
      </c>
      <c r="AL38" s="460">
        <v>0.99250000000000005</v>
      </c>
      <c r="AM38" s="459"/>
      <c r="AN38" s="459"/>
      <c r="AO38" s="459"/>
      <c r="AP38" s="458">
        <f t="shared" si="1"/>
        <v>0.99399999999999999</v>
      </c>
      <c r="AQ38" s="459">
        <v>0.99470000000000003</v>
      </c>
      <c r="AR38" s="459">
        <v>0.99409999999999998</v>
      </c>
      <c r="AS38" s="459">
        <v>0.99329999999999996</v>
      </c>
    </row>
    <row r="39" spans="1:45">
      <c r="A39" t="s">
        <v>895</v>
      </c>
      <c r="C39" t="s">
        <v>120</v>
      </c>
      <c r="D39" t="s">
        <v>121</v>
      </c>
      <c r="O39" s="36" t="s">
        <v>325</v>
      </c>
      <c r="P39" s="13">
        <v>1.04</v>
      </c>
      <c r="Q39" s="13">
        <v>0.65</v>
      </c>
      <c r="R39" s="13">
        <v>1.51</v>
      </c>
      <c r="S39" s="13">
        <v>0.22</v>
      </c>
      <c r="T39" s="13"/>
      <c r="U39" s="13"/>
      <c r="V39" s="13"/>
      <c r="W39" s="13"/>
      <c r="X39" s="13"/>
      <c r="Y39" s="13"/>
      <c r="Z39" s="13"/>
      <c r="AA39" s="13"/>
      <c r="AB39">
        <v>64437</v>
      </c>
      <c r="AC39" t="s">
        <v>2146</v>
      </c>
      <c r="AD39" t="s">
        <v>1866</v>
      </c>
      <c r="AE39" t="s">
        <v>528</v>
      </c>
      <c r="AF39" t="s">
        <v>1866</v>
      </c>
      <c r="AG39" t="s">
        <v>336</v>
      </c>
      <c r="AI39" t="s">
        <v>2146</v>
      </c>
    </row>
    <row r="40" spans="1:45">
      <c r="A40" t="s">
        <v>896</v>
      </c>
      <c r="C40" t="s">
        <v>124</v>
      </c>
      <c r="D40" t="s">
        <v>125</v>
      </c>
      <c r="O40" s="36" t="s">
        <v>326</v>
      </c>
      <c r="P40" s="13">
        <v>1.17</v>
      </c>
      <c r="Q40" s="13">
        <v>0.63</v>
      </c>
      <c r="R40" s="13">
        <v>1.33</v>
      </c>
      <c r="S40" s="13">
        <v>0.22</v>
      </c>
      <c r="T40" s="13"/>
      <c r="U40" s="13"/>
      <c r="V40" s="13"/>
      <c r="W40" s="13"/>
      <c r="X40" s="13"/>
      <c r="Y40" s="13"/>
      <c r="Z40" s="13"/>
      <c r="AA40" s="13"/>
      <c r="AB40">
        <v>64437</v>
      </c>
      <c r="AC40" t="s">
        <v>386</v>
      </c>
      <c r="AD40" t="s">
        <v>1866</v>
      </c>
      <c r="AE40" t="s">
        <v>528</v>
      </c>
      <c r="AF40" t="s">
        <v>1866</v>
      </c>
      <c r="AG40" t="s">
        <v>336</v>
      </c>
      <c r="AI40" t="s">
        <v>386</v>
      </c>
      <c r="AK40" s="610" t="s">
        <v>2136</v>
      </c>
      <c r="AL40" s="610"/>
      <c r="AM40" s="610"/>
      <c r="AO40" s="610" t="s">
        <v>2137</v>
      </c>
      <c r="AP40" s="610"/>
      <c r="AQ40" s="610"/>
    </row>
    <row r="41" spans="1:45">
      <c r="A41" t="s">
        <v>897</v>
      </c>
      <c r="C41" t="s">
        <v>128</v>
      </c>
      <c r="D41" t="s">
        <v>129</v>
      </c>
      <c r="O41" s="36" t="s">
        <v>58</v>
      </c>
      <c r="P41" s="13">
        <v>1</v>
      </c>
      <c r="Q41">
        <v>0.55000000000000004</v>
      </c>
      <c r="R41" s="13">
        <v>1.22</v>
      </c>
      <c r="S41" s="13">
        <v>0.22</v>
      </c>
      <c r="T41" s="13"/>
      <c r="U41" s="13"/>
      <c r="V41" s="13"/>
      <c r="W41" s="13"/>
      <c r="X41" s="13"/>
      <c r="Y41" s="13"/>
      <c r="Z41" s="13"/>
      <c r="AA41" s="13"/>
      <c r="AB41">
        <v>64161</v>
      </c>
      <c r="AC41" t="s">
        <v>388</v>
      </c>
      <c r="AD41" t="s">
        <v>1866</v>
      </c>
      <c r="AE41" t="s">
        <v>523</v>
      </c>
      <c r="AF41" t="s">
        <v>1866</v>
      </c>
      <c r="AG41" t="s">
        <v>336</v>
      </c>
      <c r="AI41" t="s">
        <v>388</v>
      </c>
      <c r="AK41" t="s">
        <v>2123</v>
      </c>
      <c r="AL41" t="s">
        <v>2128</v>
      </c>
      <c r="AM41" t="s">
        <v>2132</v>
      </c>
      <c r="AO41" t="s">
        <v>2123</v>
      </c>
      <c r="AP41" t="s">
        <v>2128</v>
      </c>
      <c r="AQ41" t="s">
        <v>2132</v>
      </c>
    </row>
    <row r="42" spans="1:45">
      <c r="A42" t="s">
        <v>898</v>
      </c>
      <c r="C42" t="s">
        <v>140</v>
      </c>
      <c r="D42" t="s">
        <v>141</v>
      </c>
      <c r="O42" s="13"/>
      <c r="P42" s="13"/>
      <c r="Q42" s="13"/>
      <c r="R42" s="13"/>
      <c r="S42" s="13"/>
      <c r="T42" s="13"/>
      <c r="U42" s="13"/>
      <c r="V42" s="13"/>
      <c r="W42" s="13"/>
      <c r="X42" s="13"/>
      <c r="Y42" s="13"/>
      <c r="Z42" s="13"/>
      <c r="AA42" s="13"/>
      <c r="AB42">
        <v>65321</v>
      </c>
      <c r="AC42" t="s">
        <v>390</v>
      </c>
      <c r="AD42" t="s">
        <v>1866</v>
      </c>
      <c r="AE42" t="s">
        <v>715</v>
      </c>
      <c r="AF42" t="s">
        <v>1866</v>
      </c>
      <c r="AG42" t="s">
        <v>336</v>
      </c>
      <c r="AI42" t="s">
        <v>390</v>
      </c>
      <c r="AK42">
        <v>0</v>
      </c>
      <c r="AL42" s="461">
        <v>0.98699999999999999</v>
      </c>
      <c r="AM42" s="461">
        <v>0.98650000000000004</v>
      </c>
      <c r="AO42">
        <v>0</v>
      </c>
      <c r="AP42" s="460">
        <v>0.97699999999999998</v>
      </c>
      <c r="AQ42" s="461">
        <v>0.97889999999999999</v>
      </c>
    </row>
    <row r="43" spans="1:45">
      <c r="A43" t="s">
        <v>1901</v>
      </c>
      <c r="C43" t="s">
        <v>136</v>
      </c>
      <c r="D43" t="s">
        <v>137</v>
      </c>
      <c r="O43" s="13"/>
      <c r="P43" s="13"/>
      <c r="Q43" s="13"/>
      <c r="R43" s="13"/>
      <c r="S43" s="13"/>
      <c r="T43" s="13"/>
      <c r="U43" s="13"/>
      <c r="V43" s="13"/>
      <c r="W43" s="13"/>
      <c r="X43" s="13"/>
      <c r="Y43" s="13"/>
      <c r="Z43" s="13"/>
      <c r="AA43" s="13"/>
      <c r="AB43">
        <v>65337</v>
      </c>
      <c r="AC43" t="s">
        <v>2161</v>
      </c>
      <c r="AD43" t="s">
        <v>1866</v>
      </c>
      <c r="AE43" t="s">
        <v>711</v>
      </c>
      <c r="AF43" t="s">
        <v>1866</v>
      </c>
      <c r="AG43" t="s">
        <v>336</v>
      </c>
      <c r="AI43" t="s">
        <v>2161</v>
      </c>
      <c r="AK43">
        <v>10</v>
      </c>
      <c r="AL43" s="458">
        <v>0.98699999999999999</v>
      </c>
      <c r="AM43" s="460">
        <v>0.98650000000000004</v>
      </c>
      <c r="AO43">
        <v>15</v>
      </c>
      <c r="AP43" s="458">
        <v>0.97699999999999998</v>
      </c>
      <c r="AQ43" s="458">
        <v>0.97889999999999999</v>
      </c>
    </row>
    <row r="44" spans="1:45">
      <c r="A44" t="s">
        <v>30</v>
      </c>
      <c r="C44" t="s">
        <v>132</v>
      </c>
      <c r="D44" t="s">
        <v>133</v>
      </c>
      <c r="O44" s="13"/>
      <c r="P44" s="13"/>
      <c r="Q44" s="13"/>
      <c r="R44" s="13"/>
      <c r="S44" s="13"/>
      <c r="T44" s="13"/>
      <c r="U44" s="13"/>
      <c r="V44" s="13"/>
      <c r="W44" s="13"/>
      <c r="X44" s="13"/>
      <c r="Y44" s="13"/>
      <c r="Z44" s="13"/>
      <c r="AA44" s="13"/>
      <c r="AB44">
        <v>64726</v>
      </c>
      <c r="AC44" t="s">
        <v>392</v>
      </c>
      <c r="AD44" t="s">
        <v>1866</v>
      </c>
      <c r="AE44" t="s">
        <v>625</v>
      </c>
      <c r="AF44" t="s">
        <v>1866</v>
      </c>
      <c r="AG44" t="s">
        <v>336</v>
      </c>
      <c r="AI44" t="s">
        <v>392</v>
      </c>
      <c r="AK44">
        <v>15</v>
      </c>
      <c r="AL44" s="458">
        <v>0.98819999999999997</v>
      </c>
      <c r="AM44" s="458">
        <v>0.98650000000000004</v>
      </c>
      <c r="AO44">
        <v>25</v>
      </c>
      <c r="AP44" s="458">
        <v>0.98</v>
      </c>
      <c r="AQ44" s="460">
        <v>0.97889999999999999</v>
      </c>
    </row>
    <row r="45" spans="1:45">
      <c r="C45" t="s">
        <v>144</v>
      </c>
      <c r="D45" t="s">
        <v>145</v>
      </c>
      <c r="O45" s="13"/>
      <c r="P45" s="13"/>
      <c r="Q45" s="13"/>
      <c r="R45" s="13"/>
      <c r="S45" s="13"/>
      <c r="T45" s="13"/>
      <c r="U45" s="13"/>
      <c r="V45" s="13"/>
      <c r="W45" s="13"/>
      <c r="X45" s="13"/>
      <c r="Y45" s="13"/>
      <c r="Z45" s="13"/>
      <c r="AA45" s="13"/>
      <c r="AB45">
        <v>64013</v>
      </c>
      <c r="AC45" t="s">
        <v>394</v>
      </c>
      <c r="AD45" t="s">
        <v>303</v>
      </c>
      <c r="AE45" t="s">
        <v>653</v>
      </c>
      <c r="AF45" t="s">
        <v>302</v>
      </c>
      <c r="AG45" t="s">
        <v>1866</v>
      </c>
      <c r="AI45" t="s">
        <v>394</v>
      </c>
      <c r="AK45">
        <v>25</v>
      </c>
      <c r="AL45" s="458">
        <v>0.98950000000000005</v>
      </c>
      <c r="AM45" s="460">
        <v>0.98650000000000004</v>
      </c>
      <c r="AO45">
        <v>30</v>
      </c>
      <c r="AP45" s="460">
        <v>0.98</v>
      </c>
      <c r="AQ45" s="458">
        <v>0.98229999999999995</v>
      </c>
    </row>
    <row r="46" spans="1:45">
      <c r="A46" t="s">
        <v>178</v>
      </c>
      <c r="C46" t="s">
        <v>148</v>
      </c>
      <c r="D46" t="s">
        <v>149</v>
      </c>
      <c r="O46" s="13"/>
      <c r="P46" s="13"/>
      <c r="Q46" s="13"/>
      <c r="R46" s="13"/>
      <c r="S46" s="13"/>
      <c r="T46" s="13"/>
      <c r="U46" s="13"/>
      <c r="V46" s="13"/>
      <c r="W46" s="13"/>
      <c r="X46" s="13"/>
      <c r="Y46" s="13"/>
      <c r="Z46" s="13"/>
      <c r="AA46" s="13"/>
      <c r="AB46">
        <v>64014</v>
      </c>
      <c r="AC46" t="s">
        <v>394</v>
      </c>
      <c r="AD46" t="s">
        <v>303</v>
      </c>
      <c r="AE46" t="s">
        <v>653</v>
      </c>
      <c r="AF46" t="s">
        <v>302</v>
      </c>
      <c r="AG46" t="s">
        <v>1866</v>
      </c>
      <c r="AI46" t="s">
        <v>396</v>
      </c>
      <c r="AK46">
        <v>30</v>
      </c>
      <c r="AL46" s="460">
        <v>0.98950000000000005</v>
      </c>
      <c r="AM46" s="458">
        <v>0.98829999999999996</v>
      </c>
      <c r="AO46">
        <v>37.5</v>
      </c>
      <c r="AP46" s="458">
        <v>0.98199999999999998</v>
      </c>
      <c r="AQ46" s="460">
        <v>0.98229999999999995</v>
      </c>
    </row>
    <row r="47" spans="1:45">
      <c r="A47" t="s">
        <v>252</v>
      </c>
      <c r="C47" t="s">
        <v>156</v>
      </c>
      <c r="D47" t="s">
        <v>157</v>
      </c>
      <c r="O47" s="13"/>
      <c r="P47" s="13"/>
      <c r="Q47" s="13"/>
      <c r="R47" s="13"/>
      <c r="S47" s="13"/>
      <c r="T47" s="13"/>
      <c r="U47" s="13"/>
      <c r="V47" s="13"/>
      <c r="W47" s="13"/>
      <c r="X47" s="13"/>
      <c r="Y47" s="13"/>
      <c r="Z47" s="13"/>
      <c r="AA47" s="13"/>
      <c r="AB47">
        <v>64015</v>
      </c>
      <c r="AC47" t="s">
        <v>394</v>
      </c>
      <c r="AD47" t="s">
        <v>303</v>
      </c>
      <c r="AE47" t="s">
        <v>653</v>
      </c>
      <c r="AF47" t="s">
        <v>302</v>
      </c>
      <c r="AG47" t="s">
        <v>1866</v>
      </c>
      <c r="AI47" t="s">
        <v>398</v>
      </c>
      <c r="AK47">
        <v>37.5</v>
      </c>
      <c r="AL47" s="458">
        <v>0.99049999999999994</v>
      </c>
      <c r="AM47" s="460">
        <v>0.98829999999999996</v>
      </c>
      <c r="AO47">
        <v>45</v>
      </c>
      <c r="AP47" s="460">
        <v>0.98199999999999998</v>
      </c>
      <c r="AQ47" s="458">
        <v>0.98399999999999999</v>
      </c>
    </row>
    <row r="48" spans="1:45">
      <c r="A48" t="s">
        <v>269</v>
      </c>
      <c r="C48" t="s">
        <v>152</v>
      </c>
      <c r="D48" t="s">
        <v>153</v>
      </c>
      <c r="O48" s="13"/>
      <c r="P48" s="13"/>
      <c r="Q48" s="13"/>
      <c r="R48" s="13"/>
      <c r="S48" s="13"/>
      <c r="T48" s="13"/>
      <c r="U48" s="13"/>
      <c r="V48" s="13"/>
      <c r="W48" s="13"/>
      <c r="X48" s="13"/>
      <c r="Y48" s="13"/>
      <c r="Z48" s="13"/>
      <c r="AA48" s="13"/>
      <c r="AB48">
        <v>64426</v>
      </c>
      <c r="AC48" t="s">
        <v>396</v>
      </c>
      <c r="AD48" t="s">
        <v>1866</v>
      </c>
      <c r="AE48" t="s">
        <v>614</v>
      </c>
      <c r="AF48" t="s">
        <v>1866</v>
      </c>
      <c r="AG48" t="s">
        <v>336</v>
      </c>
      <c r="AI48" t="s">
        <v>338</v>
      </c>
      <c r="AK48">
        <v>45</v>
      </c>
      <c r="AL48" s="460">
        <v>0.99050000000000005</v>
      </c>
      <c r="AM48" s="458">
        <v>0.98919999999999997</v>
      </c>
      <c r="AO48">
        <v>50</v>
      </c>
      <c r="AP48" s="458">
        <v>0.98299999999999998</v>
      </c>
      <c r="AQ48" s="460">
        <v>0.98399999999999999</v>
      </c>
    </row>
    <row r="49" spans="1:43">
      <c r="A49" t="s">
        <v>270</v>
      </c>
      <c r="C49" t="s">
        <v>62</v>
      </c>
      <c r="D49" t="s">
        <v>63</v>
      </c>
      <c r="O49" s="13"/>
      <c r="P49" s="13"/>
      <c r="Q49" s="13"/>
      <c r="R49" s="13"/>
      <c r="S49" s="13"/>
      <c r="T49" s="13"/>
      <c r="U49" s="13"/>
      <c r="V49" s="13"/>
      <c r="W49" s="13"/>
      <c r="X49" s="13"/>
      <c r="Y49" s="13"/>
      <c r="Z49" s="13"/>
      <c r="AA49" s="13"/>
      <c r="AB49">
        <v>64622</v>
      </c>
      <c r="AC49" t="s">
        <v>398</v>
      </c>
      <c r="AD49" t="s">
        <v>1866</v>
      </c>
      <c r="AE49" t="s">
        <v>453</v>
      </c>
      <c r="AF49" t="s">
        <v>1866</v>
      </c>
      <c r="AG49" t="s">
        <v>336</v>
      </c>
      <c r="AI49" t="s">
        <v>401</v>
      </c>
      <c r="AK49">
        <v>50</v>
      </c>
      <c r="AL49" s="458">
        <v>0.99109999999999998</v>
      </c>
      <c r="AM49" s="460">
        <v>0.98919999999999997</v>
      </c>
      <c r="AO49">
        <v>75</v>
      </c>
      <c r="AP49" s="458">
        <v>0.98499999999999999</v>
      </c>
      <c r="AQ49" s="458">
        <v>0.98599999999999999</v>
      </c>
    </row>
    <row r="50" spans="1:43">
      <c r="A50" t="s">
        <v>259</v>
      </c>
      <c r="C50" t="s">
        <v>90</v>
      </c>
      <c r="D50" t="s">
        <v>91</v>
      </c>
      <c r="O50" s="13"/>
      <c r="P50" s="13"/>
      <c r="Q50" s="13"/>
      <c r="R50" s="13"/>
      <c r="S50" s="13"/>
      <c r="T50" s="13"/>
      <c r="U50" s="13"/>
      <c r="V50" s="13"/>
      <c r="W50" s="13"/>
      <c r="X50" s="13"/>
      <c r="Y50" s="13"/>
      <c r="Z50" s="13"/>
      <c r="AA50" s="13"/>
      <c r="AB50">
        <v>64427</v>
      </c>
      <c r="AC50" t="s">
        <v>338</v>
      </c>
      <c r="AD50" t="s">
        <v>1866</v>
      </c>
      <c r="AE50" t="s">
        <v>335</v>
      </c>
      <c r="AF50" t="s">
        <v>1866</v>
      </c>
      <c r="AG50" t="s">
        <v>336</v>
      </c>
      <c r="AI50" t="s">
        <v>404</v>
      </c>
      <c r="AK50">
        <v>75</v>
      </c>
      <c r="AL50" s="458">
        <v>0.9919</v>
      </c>
      <c r="AM50" s="458">
        <v>0.99029999999999996</v>
      </c>
      <c r="AO50">
        <v>100</v>
      </c>
      <c r="AP50" s="458">
        <v>0.98599999999999999</v>
      </c>
      <c r="AQ50" s="460">
        <v>0.98599999999999999</v>
      </c>
    </row>
    <row r="51" spans="1:43">
      <c r="A51" t="s">
        <v>1232</v>
      </c>
      <c r="C51" t="s">
        <v>94</v>
      </c>
      <c r="D51" t="s">
        <v>95</v>
      </c>
      <c r="O51" s="13"/>
      <c r="P51" s="13"/>
      <c r="Q51" s="13"/>
      <c r="R51" s="13"/>
      <c r="S51" s="13"/>
      <c r="T51" s="13"/>
      <c r="U51" s="13"/>
      <c r="V51" s="13"/>
      <c r="W51" s="13"/>
      <c r="X51" s="13"/>
      <c r="Y51" s="13"/>
      <c r="Z51" s="13"/>
      <c r="AA51" s="13"/>
      <c r="AB51">
        <v>65250</v>
      </c>
      <c r="AC51" t="s">
        <v>401</v>
      </c>
      <c r="AD51" t="s">
        <v>1866</v>
      </c>
      <c r="AE51" t="s">
        <v>644</v>
      </c>
      <c r="AF51" t="s">
        <v>1866</v>
      </c>
      <c r="AG51" t="s">
        <v>336</v>
      </c>
      <c r="AI51" t="s">
        <v>406</v>
      </c>
      <c r="AK51">
        <v>100</v>
      </c>
      <c r="AL51" s="458">
        <v>0.99250000000000005</v>
      </c>
      <c r="AM51" s="460">
        <v>0.99029999999999996</v>
      </c>
      <c r="AO51">
        <v>112.5</v>
      </c>
      <c r="AP51" s="460">
        <v>0.98599999999999999</v>
      </c>
      <c r="AQ51" s="458">
        <v>0.98740000000000006</v>
      </c>
    </row>
    <row r="52" spans="1:43">
      <c r="A52" t="s">
        <v>263</v>
      </c>
      <c r="C52" t="s">
        <v>66</v>
      </c>
      <c r="D52" t="s">
        <v>67</v>
      </c>
      <c r="O52" s="13"/>
      <c r="P52" s="13"/>
      <c r="Q52" s="13"/>
      <c r="R52" s="13"/>
      <c r="S52" s="13"/>
      <c r="T52" s="13"/>
      <c r="U52" s="13"/>
      <c r="V52" s="13"/>
      <c r="W52" s="13"/>
      <c r="X52" s="13"/>
      <c r="Y52" s="13"/>
      <c r="Z52" s="13"/>
      <c r="AA52" s="13"/>
      <c r="AB52">
        <v>64623</v>
      </c>
      <c r="AC52" t="s">
        <v>404</v>
      </c>
      <c r="AD52" t="s">
        <v>1866</v>
      </c>
      <c r="AE52" t="s">
        <v>453</v>
      </c>
      <c r="AF52" t="s">
        <v>1866</v>
      </c>
      <c r="AG52" t="s">
        <v>336</v>
      </c>
      <c r="AI52" t="s">
        <v>2147</v>
      </c>
      <c r="AK52">
        <v>112.5</v>
      </c>
      <c r="AL52" s="460">
        <v>0.99250000000000005</v>
      </c>
      <c r="AM52" s="458">
        <v>0.99109999999999998</v>
      </c>
      <c r="AO52">
        <v>150</v>
      </c>
      <c r="AP52" s="460">
        <v>0.98599999999999999</v>
      </c>
      <c r="AQ52" s="458">
        <v>0.98829999999999996</v>
      </c>
    </row>
    <row r="53" spans="1:43">
      <c r="A53" t="s">
        <v>276</v>
      </c>
      <c r="C53" t="s">
        <v>74</v>
      </c>
      <c r="D53" t="s">
        <v>75</v>
      </c>
      <c r="O53" s="13"/>
      <c r="P53" s="13"/>
      <c r="Q53" s="13"/>
      <c r="R53" s="13"/>
      <c r="S53" s="13"/>
      <c r="T53" s="13"/>
      <c r="U53" s="13"/>
      <c r="V53" s="13"/>
      <c r="W53" s="13"/>
      <c r="X53" s="13"/>
      <c r="Y53" s="13"/>
      <c r="Z53" s="13"/>
      <c r="AA53" s="13"/>
      <c r="AB53">
        <v>64642</v>
      </c>
      <c r="AC53" t="s">
        <v>406</v>
      </c>
      <c r="AD53" t="s">
        <v>1866</v>
      </c>
      <c r="AE53" t="s">
        <v>614</v>
      </c>
      <c r="AF53" t="s">
        <v>1866</v>
      </c>
      <c r="AG53" t="s">
        <v>336</v>
      </c>
      <c r="AI53" t="s">
        <v>2148</v>
      </c>
      <c r="AK53">
        <v>150</v>
      </c>
      <c r="AL53" s="460">
        <v>0.99250000000000005</v>
      </c>
      <c r="AM53" s="458">
        <v>0.99159999999999993</v>
      </c>
      <c r="AO53">
        <v>167</v>
      </c>
      <c r="AP53" s="458">
        <v>0.98699999999999999</v>
      </c>
      <c r="AQ53" s="460">
        <v>0.98829999999999996</v>
      </c>
    </row>
    <row r="54" spans="1:43">
      <c r="A54" t="s">
        <v>298</v>
      </c>
      <c r="C54" t="s">
        <v>78</v>
      </c>
      <c r="D54" t="s">
        <v>79</v>
      </c>
      <c r="O54" s="13"/>
      <c r="P54" s="13"/>
      <c r="Q54" s="13"/>
      <c r="R54" s="13"/>
      <c r="S54" s="13"/>
      <c r="T54" s="13"/>
      <c r="U54" s="13"/>
      <c r="V54" s="13"/>
      <c r="W54" s="13"/>
      <c r="X54" s="13"/>
      <c r="Y54" s="13"/>
      <c r="Z54" s="13"/>
      <c r="AA54" s="13"/>
      <c r="AB54">
        <v>64728</v>
      </c>
      <c r="AC54" t="s">
        <v>2147</v>
      </c>
      <c r="AD54" t="s">
        <v>1866</v>
      </c>
      <c r="AE54" t="s">
        <v>716</v>
      </c>
      <c r="AF54" t="s">
        <v>1866</v>
      </c>
      <c r="AG54" t="s">
        <v>336</v>
      </c>
      <c r="AI54" t="s">
        <v>408</v>
      </c>
      <c r="AK54">
        <v>167</v>
      </c>
      <c r="AL54" s="458">
        <v>0.99329999999999996</v>
      </c>
      <c r="AM54" s="460">
        <v>0.99160000000000004</v>
      </c>
      <c r="AO54">
        <v>225</v>
      </c>
      <c r="AP54" s="460">
        <v>0.98699999999999999</v>
      </c>
      <c r="AQ54" s="458">
        <v>0.98939999999999995</v>
      </c>
    </row>
    <row r="55" spans="1:43">
      <c r="A55" t="s">
        <v>321</v>
      </c>
      <c r="C55" t="s">
        <v>82</v>
      </c>
      <c r="D55" t="s">
        <v>83</v>
      </c>
      <c r="O55" s="13"/>
      <c r="P55" s="13"/>
      <c r="Q55" s="13"/>
      <c r="R55" s="13"/>
      <c r="S55" s="13"/>
      <c r="T55" s="13"/>
      <c r="U55" s="13"/>
      <c r="V55" s="13"/>
      <c r="W55" s="13"/>
      <c r="X55" s="13"/>
      <c r="Y55" s="13"/>
      <c r="Z55" s="13"/>
      <c r="AA55" s="13"/>
      <c r="AB55">
        <v>64740</v>
      </c>
      <c r="AC55" t="s">
        <v>2148</v>
      </c>
      <c r="AD55" t="s">
        <v>1866</v>
      </c>
      <c r="AE55" t="s">
        <v>625</v>
      </c>
      <c r="AF55" t="s">
        <v>1866</v>
      </c>
      <c r="AG55" t="s">
        <v>336</v>
      </c>
      <c r="AI55" t="s">
        <v>311</v>
      </c>
      <c r="AK55">
        <v>225</v>
      </c>
      <c r="AL55" s="460">
        <v>0.99329999999999996</v>
      </c>
      <c r="AM55" s="458">
        <v>0.99230000000000007</v>
      </c>
      <c r="AO55">
        <v>250</v>
      </c>
      <c r="AP55" s="458">
        <v>0.98799999999999999</v>
      </c>
      <c r="AQ55" s="460">
        <v>0.98939999999999995</v>
      </c>
    </row>
    <row r="56" spans="1:43">
      <c r="A56" t="s">
        <v>328</v>
      </c>
      <c r="C56" t="s">
        <v>70</v>
      </c>
      <c r="D56" t="s">
        <v>71</v>
      </c>
      <c r="O56" s="13"/>
      <c r="P56" s="13"/>
      <c r="Q56" s="13"/>
      <c r="R56" s="13"/>
      <c r="S56" s="13"/>
      <c r="T56" s="13"/>
      <c r="U56" s="13"/>
      <c r="V56" s="13"/>
      <c r="W56" s="13"/>
      <c r="X56" s="13"/>
      <c r="Y56" s="13"/>
      <c r="Z56" s="13"/>
      <c r="AA56" s="13"/>
      <c r="AB56">
        <v>65236</v>
      </c>
      <c r="AC56" t="s">
        <v>408</v>
      </c>
      <c r="AD56" t="s">
        <v>1866</v>
      </c>
      <c r="AE56" t="s">
        <v>501</v>
      </c>
      <c r="AF56" t="s">
        <v>1866</v>
      </c>
      <c r="AG56" t="s">
        <v>336</v>
      </c>
      <c r="AI56" t="s">
        <v>411</v>
      </c>
      <c r="AK56">
        <v>250</v>
      </c>
      <c r="AL56" s="458">
        <v>0.99390000000000001</v>
      </c>
      <c r="AM56" s="460">
        <v>0.99229999999999996</v>
      </c>
      <c r="AO56">
        <v>300</v>
      </c>
      <c r="AP56" s="460">
        <v>0.98799999999999999</v>
      </c>
      <c r="AQ56" s="458">
        <v>0.99019999999999997</v>
      </c>
    </row>
    <row r="57" spans="1:43">
      <c r="A57" t="s">
        <v>1733</v>
      </c>
      <c r="C57" t="s">
        <v>86</v>
      </c>
      <c r="D57" t="s">
        <v>87</v>
      </c>
      <c r="O57" s="13"/>
      <c r="P57" s="13"/>
      <c r="Q57" s="13"/>
      <c r="R57" s="13"/>
      <c r="S57" s="13"/>
      <c r="T57" s="13"/>
      <c r="U57" s="13"/>
      <c r="V57" s="13"/>
      <c r="W57" s="13"/>
      <c r="X57" s="13"/>
      <c r="Y57" s="13"/>
      <c r="Z57" s="13"/>
      <c r="AA57" s="13"/>
      <c r="AB57">
        <v>64016</v>
      </c>
      <c r="AC57" t="s">
        <v>311</v>
      </c>
      <c r="AD57" t="s">
        <v>1866</v>
      </c>
      <c r="AE57" t="s">
        <v>653</v>
      </c>
      <c r="AF57" t="s">
        <v>302</v>
      </c>
      <c r="AG57" t="s">
        <v>336</v>
      </c>
      <c r="AI57" t="s">
        <v>383</v>
      </c>
      <c r="AK57">
        <v>300</v>
      </c>
      <c r="AL57" s="460">
        <v>0.99390000000000001</v>
      </c>
      <c r="AM57" s="458">
        <v>0.99269999999999992</v>
      </c>
      <c r="AO57">
        <v>333</v>
      </c>
      <c r="AP57" s="458">
        <v>0.98899999999999999</v>
      </c>
      <c r="AQ57" s="460">
        <v>0.99019999999999997</v>
      </c>
    </row>
    <row r="58" spans="1:43">
      <c r="A58" t="s">
        <v>1734</v>
      </c>
      <c r="C58" t="s">
        <v>98</v>
      </c>
      <c r="D58" t="s">
        <v>99</v>
      </c>
      <c r="O58" s="13"/>
      <c r="P58" s="13"/>
      <c r="Q58" s="13"/>
      <c r="R58" s="13"/>
      <c r="S58" s="13"/>
      <c r="T58" s="13"/>
      <c r="U58" s="13"/>
      <c r="V58" s="13"/>
      <c r="W58" s="13"/>
      <c r="X58" s="13"/>
      <c r="Y58" s="13"/>
      <c r="Z58" s="13"/>
      <c r="AA58" s="13"/>
      <c r="AB58">
        <v>64428</v>
      </c>
      <c r="AC58" t="s">
        <v>411</v>
      </c>
      <c r="AD58" t="s">
        <v>1866</v>
      </c>
      <c r="AE58" t="s">
        <v>710</v>
      </c>
      <c r="AF58" t="s">
        <v>1866</v>
      </c>
      <c r="AG58" t="s">
        <v>336</v>
      </c>
      <c r="AI58" t="s">
        <v>414</v>
      </c>
      <c r="AK58">
        <v>333</v>
      </c>
      <c r="AL58" s="458">
        <v>0.99430000000000007</v>
      </c>
      <c r="AM58" s="460">
        <v>0.99270000000000003</v>
      </c>
      <c r="AO58">
        <v>500</v>
      </c>
      <c r="AP58" s="460">
        <v>0.98899999999999999</v>
      </c>
      <c r="AQ58" s="458">
        <v>0.99139999999999995</v>
      </c>
    </row>
    <row r="59" spans="1:43">
      <c r="C59" t="s">
        <v>102</v>
      </c>
      <c r="D59" t="s">
        <v>103</v>
      </c>
      <c r="O59" s="13"/>
      <c r="P59" s="13"/>
      <c r="Q59" s="13"/>
      <c r="R59" s="13"/>
      <c r="S59" s="13"/>
      <c r="T59" s="13"/>
      <c r="U59" s="13"/>
      <c r="V59" s="13"/>
      <c r="W59" s="13"/>
      <c r="X59" s="13"/>
      <c r="Y59" s="13"/>
      <c r="Z59" s="13"/>
      <c r="AA59" s="13"/>
      <c r="AB59">
        <v>64730</v>
      </c>
      <c r="AC59" t="s">
        <v>383</v>
      </c>
      <c r="AD59" t="s">
        <v>1866</v>
      </c>
      <c r="AE59" t="s">
        <v>380</v>
      </c>
      <c r="AF59" t="s">
        <v>1866</v>
      </c>
      <c r="AG59" t="s">
        <v>336</v>
      </c>
      <c r="AI59" t="s">
        <v>416</v>
      </c>
      <c r="AK59">
        <v>500</v>
      </c>
      <c r="AL59" s="458">
        <v>0.9948999999999999</v>
      </c>
      <c r="AM59" s="458">
        <v>0.99349999999999994</v>
      </c>
      <c r="AO59">
        <v>750</v>
      </c>
      <c r="AP59" s="460">
        <v>0.98899999999999999</v>
      </c>
      <c r="AQ59" s="458">
        <v>0.99229999999999996</v>
      </c>
    </row>
    <row r="60" spans="1:43">
      <c r="A60" t="s">
        <v>275</v>
      </c>
      <c r="C60" t="s">
        <v>106</v>
      </c>
      <c r="D60" t="s">
        <v>107</v>
      </c>
      <c r="O60" s="13"/>
      <c r="P60" s="13"/>
      <c r="Q60" s="13"/>
      <c r="R60" s="13"/>
      <c r="S60" s="13"/>
      <c r="T60" s="13"/>
      <c r="U60" s="13"/>
      <c r="V60" s="13"/>
      <c r="W60" s="13"/>
      <c r="X60" s="13"/>
      <c r="Y60" s="13"/>
      <c r="Z60" s="13"/>
      <c r="AA60" s="13"/>
      <c r="AB60">
        <v>65281</v>
      </c>
      <c r="AC60" t="s">
        <v>414</v>
      </c>
      <c r="AD60" t="s">
        <v>1866</v>
      </c>
      <c r="AE60" t="s">
        <v>501</v>
      </c>
      <c r="AF60" t="s">
        <v>1866</v>
      </c>
      <c r="AG60" t="s">
        <v>336</v>
      </c>
      <c r="AI60" t="s">
        <v>418</v>
      </c>
      <c r="AK60">
        <v>667</v>
      </c>
      <c r="AL60" s="458">
        <v>0.99519999999999997</v>
      </c>
      <c r="AM60" s="460">
        <v>0.99350000000000005</v>
      </c>
      <c r="AO60">
        <v>1000</v>
      </c>
      <c r="AP60" s="460">
        <v>0.98899999999999999</v>
      </c>
      <c r="AQ60" s="458">
        <v>0.99280000000000002</v>
      </c>
    </row>
    <row r="61" spans="1:43">
      <c r="A61" t="s">
        <v>2106</v>
      </c>
      <c r="C61" t="s">
        <v>110</v>
      </c>
      <c r="D61" t="s">
        <v>111</v>
      </c>
      <c r="O61" s="13"/>
      <c r="P61" s="13"/>
      <c r="Q61" s="13"/>
      <c r="R61" s="13"/>
      <c r="S61" s="13"/>
      <c r="T61" s="13"/>
      <c r="U61" s="13"/>
      <c r="V61" s="13"/>
      <c r="W61" s="13"/>
      <c r="X61" s="13"/>
      <c r="Y61" s="13"/>
      <c r="Z61" s="13"/>
      <c r="AA61" s="13"/>
      <c r="AB61">
        <v>64632</v>
      </c>
      <c r="AC61" t="s">
        <v>416</v>
      </c>
      <c r="AD61" t="s">
        <v>1866</v>
      </c>
      <c r="AE61" t="s">
        <v>614</v>
      </c>
      <c r="AF61" t="s">
        <v>1866</v>
      </c>
      <c r="AG61" t="s">
        <v>336</v>
      </c>
      <c r="AI61" t="s">
        <v>420</v>
      </c>
      <c r="AK61">
        <v>750</v>
      </c>
      <c r="AL61" s="460">
        <v>0.99519999999999997</v>
      </c>
      <c r="AM61" s="458">
        <v>0.99400000000000011</v>
      </c>
    </row>
    <row r="62" spans="1:43">
      <c r="A62" s="23" t="s">
        <v>2257</v>
      </c>
      <c r="C62" s="23" t="s">
        <v>2263</v>
      </c>
      <c r="D62" s="23" t="s">
        <v>2264</v>
      </c>
      <c r="O62" s="13"/>
      <c r="P62" s="13"/>
      <c r="Q62" s="13"/>
      <c r="R62" s="13"/>
      <c r="S62" s="13"/>
      <c r="T62" s="13"/>
      <c r="U62" s="13"/>
      <c r="V62" s="13"/>
      <c r="W62" s="13"/>
      <c r="X62" s="13"/>
      <c r="Y62" s="13"/>
      <c r="Z62" s="13"/>
      <c r="AA62" s="13"/>
      <c r="AB62">
        <v>65239</v>
      </c>
      <c r="AC62" t="s">
        <v>418</v>
      </c>
      <c r="AD62" t="s">
        <v>1866</v>
      </c>
      <c r="AE62" t="s">
        <v>542</v>
      </c>
      <c r="AF62" t="s">
        <v>1866</v>
      </c>
      <c r="AG62" t="s">
        <v>336</v>
      </c>
      <c r="AI62" t="s">
        <v>422</v>
      </c>
      <c r="AK62">
        <v>833</v>
      </c>
      <c r="AL62" s="458">
        <v>0.99549999999999994</v>
      </c>
      <c r="AM62" s="460">
        <v>0.99399999999999999</v>
      </c>
    </row>
    <row r="63" spans="1:43">
      <c r="A63" t="s">
        <v>2254</v>
      </c>
      <c r="C63" t="s">
        <v>114</v>
      </c>
      <c r="D63" t="s">
        <v>115</v>
      </c>
      <c r="AB63">
        <v>65323</v>
      </c>
      <c r="AC63" t="s">
        <v>420</v>
      </c>
      <c r="AD63" t="s">
        <v>1866</v>
      </c>
      <c r="AE63" t="s">
        <v>625</v>
      </c>
      <c r="AF63" t="s">
        <v>1866</v>
      </c>
      <c r="AG63" t="s">
        <v>336</v>
      </c>
      <c r="AI63" t="s">
        <v>424</v>
      </c>
      <c r="AK63">
        <v>1000</v>
      </c>
      <c r="AL63" s="460">
        <v>0.99550000000000005</v>
      </c>
      <c r="AM63" s="458">
        <v>0.99430000000000007</v>
      </c>
    </row>
    <row r="64" spans="1:43">
      <c r="A64" t="s">
        <v>1913</v>
      </c>
      <c r="C64" t="s">
        <v>118</v>
      </c>
      <c r="D64" t="s">
        <v>119</v>
      </c>
      <c r="AB64">
        <v>64017</v>
      </c>
      <c r="AC64" t="s">
        <v>422</v>
      </c>
      <c r="AD64" t="s">
        <v>1866</v>
      </c>
      <c r="AE64" t="s">
        <v>713</v>
      </c>
      <c r="AF64" t="s">
        <v>1866</v>
      </c>
      <c r="AG64" t="s">
        <v>336</v>
      </c>
      <c r="AI64" t="s">
        <v>426</v>
      </c>
      <c r="AK64">
        <v>1500</v>
      </c>
      <c r="AL64" s="460">
        <v>0.99550000000000005</v>
      </c>
      <c r="AM64" s="458">
        <v>0.99480000000000002</v>
      </c>
    </row>
    <row r="65" spans="1:39">
      <c r="A65" s="23" t="s">
        <v>2256</v>
      </c>
      <c r="C65" t="s">
        <v>122</v>
      </c>
      <c r="D65" t="s">
        <v>123</v>
      </c>
      <c r="AB65">
        <v>64018</v>
      </c>
      <c r="AC65" t="s">
        <v>424</v>
      </c>
      <c r="AD65" t="s">
        <v>1866</v>
      </c>
      <c r="AE65" t="s">
        <v>712</v>
      </c>
      <c r="AF65" t="s">
        <v>1152</v>
      </c>
      <c r="AG65" t="s">
        <v>1866</v>
      </c>
      <c r="AI65" t="s">
        <v>428</v>
      </c>
      <c r="AK65">
        <v>2000</v>
      </c>
      <c r="AL65" s="460">
        <v>0.99550000000000005</v>
      </c>
      <c r="AM65" s="458">
        <v>0.9951000000000001</v>
      </c>
    </row>
    <row r="66" spans="1:39">
      <c r="A66" t="s">
        <v>2244</v>
      </c>
      <c r="C66" t="s">
        <v>126</v>
      </c>
      <c r="D66" t="s">
        <v>127</v>
      </c>
      <c r="AB66">
        <v>64429</v>
      </c>
      <c r="AC66" t="s">
        <v>426</v>
      </c>
      <c r="AD66" t="s">
        <v>304</v>
      </c>
      <c r="AE66" t="s">
        <v>448</v>
      </c>
      <c r="AF66" t="s">
        <v>1866</v>
      </c>
      <c r="AG66" t="s">
        <v>1866</v>
      </c>
      <c r="AI66" t="s">
        <v>430</v>
      </c>
      <c r="AK66">
        <v>2500</v>
      </c>
      <c r="AL66" s="460">
        <v>0.99550000000000005</v>
      </c>
      <c r="AM66" s="458">
        <v>0.99529999999999996</v>
      </c>
    </row>
    <row r="67" spans="1:39">
      <c r="A67" t="s">
        <v>2344</v>
      </c>
      <c r="C67" t="s">
        <v>130</v>
      </c>
      <c r="D67" t="s">
        <v>131</v>
      </c>
      <c r="AB67">
        <v>64772</v>
      </c>
      <c r="AC67" t="s">
        <v>428</v>
      </c>
      <c r="AD67" t="s">
        <v>1866</v>
      </c>
      <c r="AE67" t="s">
        <v>716</v>
      </c>
      <c r="AF67" t="s">
        <v>1866</v>
      </c>
      <c r="AG67" t="s">
        <v>336</v>
      </c>
      <c r="AI67" t="s">
        <v>432</v>
      </c>
    </row>
    <row r="68" spans="1:39">
      <c r="A68" t="s">
        <v>2345</v>
      </c>
      <c r="C68" t="s">
        <v>134</v>
      </c>
      <c r="D68" t="s">
        <v>135</v>
      </c>
      <c r="AB68">
        <v>65607</v>
      </c>
      <c r="AC68" t="s">
        <v>430</v>
      </c>
      <c r="AD68" t="s">
        <v>1866</v>
      </c>
      <c r="AE68" t="s">
        <v>495</v>
      </c>
      <c r="AF68" t="s">
        <v>1866</v>
      </c>
      <c r="AG68" t="s">
        <v>336</v>
      </c>
      <c r="AI68" t="s">
        <v>434</v>
      </c>
    </row>
    <row r="69" spans="1:39">
      <c r="C69" t="s">
        <v>142</v>
      </c>
      <c r="D69" t="s">
        <v>143</v>
      </c>
      <c r="AB69">
        <v>64633</v>
      </c>
      <c r="AC69" t="s">
        <v>432</v>
      </c>
      <c r="AD69" t="s">
        <v>304</v>
      </c>
      <c r="AE69" t="s">
        <v>453</v>
      </c>
      <c r="AF69" t="s">
        <v>1866</v>
      </c>
      <c r="AG69" t="s">
        <v>1866</v>
      </c>
      <c r="AI69" t="s">
        <v>436</v>
      </c>
    </row>
    <row r="70" spans="1:39">
      <c r="A70" t="s">
        <v>294</v>
      </c>
      <c r="C70" s="23" t="s">
        <v>2265</v>
      </c>
      <c r="D70" s="23" t="s">
        <v>2266</v>
      </c>
      <c r="AB70">
        <v>64019</v>
      </c>
      <c r="AC70" t="s">
        <v>434</v>
      </c>
      <c r="AD70" t="s">
        <v>1866</v>
      </c>
      <c r="AE70" t="s">
        <v>692</v>
      </c>
      <c r="AF70" t="s">
        <v>1866</v>
      </c>
      <c r="AG70" t="s">
        <v>336</v>
      </c>
      <c r="AI70" t="s">
        <v>438</v>
      </c>
    </row>
    <row r="71" spans="1:39">
      <c r="A71" t="s">
        <v>1213</v>
      </c>
      <c r="C71" t="s">
        <v>138</v>
      </c>
      <c r="D71" t="s">
        <v>139</v>
      </c>
      <c r="AB71">
        <v>64733</v>
      </c>
      <c r="AC71" t="s">
        <v>436</v>
      </c>
      <c r="AD71" t="s">
        <v>1866</v>
      </c>
      <c r="AE71" t="s">
        <v>692</v>
      </c>
      <c r="AF71" t="s">
        <v>1866</v>
      </c>
      <c r="AG71" t="s">
        <v>336</v>
      </c>
      <c r="AI71" t="s">
        <v>440</v>
      </c>
    </row>
    <row r="72" spans="1:39">
      <c r="A72" t="s">
        <v>1214</v>
      </c>
      <c r="C72" t="s">
        <v>146</v>
      </c>
      <c r="D72" t="s">
        <v>147</v>
      </c>
      <c r="AB72">
        <v>64601</v>
      </c>
      <c r="AC72" t="s">
        <v>438</v>
      </c>
      <c r="AD72" t="s">
        <v>306</v>
      </c>
      <c r="AE72" t="s">
        <v>706</v>
      </c>
      <c r="AF72" t="s">
        <v>1866</v>
      </c>
      <c r="AG72" t="s">
        <v>1866</v>
      </c>
      <c r="AI72" t="s">
        <v>442</v>
      </c>
    </row>
    <row r="73" spans="1:39">
      <c r="A73" t="s">
        <v>2070</v>
      </c>
      <c r="C73" t="s">
        <v>154</v>
      </c>
      <c r="D73" t="s">
        <v>155</v>
      </c>
      <c r="AB73">
        <v>64635</v>
      </c>
      <c r="AC73" t="s">
        <v>440</v>
      </c>
      <c r="AD73" t="s">
        <v>1866</v>
      </c>
      <c r="AE73" t="s">
        <v>706</v>
      </c>
      <c r="AF73" t="s">
        <v>1866</v>
      </c>
      <c r="AG73" t="s">
        <v>336</v>
      </c>
      <c r="AI73" t="s">
        <v>443</v>
      </c>
    </row>
    <row r="74" spans="1:39">
      <c r="A74" s="23" t="s">
        <v>2258</v>
      </c>
      <c r="C74" t="s">
        <v>150</v>
      </c>
      <c r="D74" t="s">
        <v>151</v>
      </c>
      <c r="AB74">
        <v>65243</v>
      </c>
      <c r="AC74" t="s">
        <v>442</v>
      </c>
      <c r="AD74" t="s">
        <v>1866</v>
      </c>
      <c r="AE74" t="s">
        <v>542</v>
      </c>
      <c r="AF74" t="s">
        <v>1866</v>
      </c>
      <c r="AG74" t="s">
        <v>336</v>
      </c>
      <c r="AI74" t="s">
        <v>444</v>
      </c>
    </row>
    <row r="75" spans="1:39">
      <c r="A75" t="s">
        <v>2069</v>
      </c>
      <c r="C75" t="s">
        <v>158</v>
      </c>
      <c r="D75" t="s">
        <v>159</v>
      </c>
      <c r="AB75">
        <v>64430</v>
      </c>
      <c r="AC75" t="s">
        <v>443</v>
      </c>
      <c r="AD75" t="s">
        <v>1866</v>
      </c>
      <c r="AE75" t="s">
        <v>592</v>
      </c>
      <c r="AF75" t="s">
        <v>1866</v>
      </c>
      <c r="AG75" t="s">
        <v>336</v>
      </c>
      <c r="AI75" t="s">
        <v>445</v>
      </c>
    </row>
    <row r="76" spans="1:39">
      <c r="A76" t="s">
        <v>2346</v>
      </c>
      <c r="C76" s="23" t="s">
        <v>2349</v>
      </c>
      <c r="D76" s="23" t="s">
        <v>2350</v>
      </c>
      <c r="AB76">
        <v>64119</v>
      </c>
      <c r="AC76" t="s">
        <v>444</v>
      </c>
      <c r="AD76" t="s">
        <v>1866</v>
      </c>
      <c r="AE76" t="s">
        <v>523</v>
      </c>
      <c r="AF76" t="s">
        <v>1866</v>
      </c>
      <c r="AG76" t="s">
        <v>336</v>
      </c>
      <c r="AI76" t="s">
        <v>446</v>
      </c>
    </row>
    <row r="77" spans="1:39">
      <c r="A77" t="s">
        <v>2347</v>
      </c>
      <c r="C77" s="23" t="s">
        <v>2351</v>
      </c>
      <c r="D77" s="23" t="s">
        <v>2352</v>
      </c>
      <c r="AB77">
        <v>64431</v>
      </c>
      <c r="AC77" t="s">
        <v>445</v>
      </c>
      <c r="AD77" t="s">
        <v>1866</v>
      </c>
      <c r="AE77" t="s">
        <v>710</v>
      </c>
      <c r="AF77" t="s">
        <v>1866</v>
      </c>
      <c r="AG77" t="s">
        <v>336</v>
      </c>
      <c r="AI77" t="s">
        <v>447</v>
      </c>
    </row>
    <row r="78" spans="1:39">
      <c r="C78" s="23" t="s">
        <v>2353</v>
      </c>
      <c r="D78" s="23" t="s">
        <v>2354</v>
      </c>
      <c r="AB78">
        <v>64734</v>
      </c>
      <c r="AC78" t="s">
        <v>446</v>
      </c>
      <c r="AD78" t="s">
        <v>1866</v>
      </c>
      <c r="AE78" t="s">
        <v>468</v>
      </c>
      <c r="AF78" t="s">
        <v>1866</v>
      </c>
      <c r="AG78" t="s">
        <v>336</v>
      </c>
      <c r="AI78" t="s">
        <v>448</v>
      </c>
    </row>
    <row r="79" spans="1:39">
      <c r="C79" s="23" t="s">
        <v>2355</v>
      </c>
      <c r="D79" s="23" t="s">
        <v>2356</v>
      </c>
      <c r="AB79">
        <v>65244</v>
      </c>
      <c r="AC79" t="s">
        <v>447</v>
      </c>
      <c r="AD79" t="s">
        <v>1866</v>
      </c>
      <c r="AE79" t="s">
        <v>542</v>
      </c>
      <c r="AF79" t="s">
        <v>1866</v>
      </c>
      <c r="AG79" t="s">
        <v>336</v>
      </c>
      <c r="AI79" t="s">
        <v>449</v>
      </c>
    </row>
    <row r="80" spans="1:39">
      <c r="C80" s="23" t="s">
        <v>2357</v>
      </c>
      <c r="D80" s="23" t="s">
        <v>2358</v>
      </c>
      <c r="AB80">
        <v>64735</v>
      </c>
      <c r="AC80" t="s">
        <v>448</v>
      </c>
      <c r="AD80" t="s">
        <v>1866</v>
      </c>
      <c r="AE80" t="s">
        <v>625</v>
      </c>
      <c r="AF80" t="s">
        <v>1866</v>
      </c>
      <c r="AG80" t="s">
        <v>336</v>
      </c>
      <c r="AI80" t="s">
        <v>451</v>
      </c>
    </row>
    <row r="81" spans="1:35">
      <c r="C81" s="23" t="s">
        <v>2359</v>
      </c>
      <c r="D81" s="23" t="s">
        <v>2360</v>
      </c>
      <c r="AB81">
        <v>64432</v>
      </c>
      <c r="AC81" t="s">
        <v>449</v>
      </c>
      <c r="AD81" t="s">
        <v>1866</v>
      </c>
      <c r="AE81" t="s">
        <v>710</v>
      </c>
      <c r="AF81" t="s">
        <v>1866</v>
      </c>
      <c r="AG81" t="s">
        <v>336</v>
      </c>
      <c r="AI81" t="s">
        <v>402</v>
      </c>
    </row>
    <row r="82" spans="1:35">
      <c r="C82" s="23" t="s">
        <v>2361</v>
      </c>
      <c r="D82" s="23" t="s">
        <v>2362</v>
      </c>
      <c r="AB82">
        <v>64636</v>
      </c>
      <c r="AC82" t="s">
        <v>451</v>
      </c>
      <c r="AD82" t="s">
        <v>1866</v>
      </c>
      <c r="AE82" t="s">
        <v>583</v>
      </c>
      <c r="AF82" t="s">
        <v>1866</v>
      </c>
      <c r="AG82" t="s">
        <v>336</v>
      </c>
      <c r="AI82" t="s">
        <v>454</v>
      </c>
    </row>
    <row r="83" spans="1:35">
      <c r="C83" s="23" t="s">
        <v>2363</v>
      </c>
      <c r="D83" s="23" t="s">
        <v>2364</v>
      </c>
      <c r="AB83">
        <v>65325</v>
      </c>
      <c r="AC83" t="s">
        <v>402</v>
      </c>
      <c r="AD83" t="s">
        <v>1866</v>
      </c>
      <c r="AE83" t="s">
        <v>403</v>
      </c>
      <c r="AF83" t="s">
        <v>1866</v>
      </c>
      <c r="AG83" t="s">
        <v>336</v>
      </c>
      <c r="AI83" t="s">
        <v>455</v>
      </c>
    </row>
    <row r="84" spans="1:35">
      <c r="C84" s="23" t="s">
        <v>2365</v>
      </c>
      <c r="D84" s="23" t="s">
        <v>2366</v>
      </c>
      <c r="AB84">
        <v>64738</v>
      </c>
      <c r="AC84" t="s">
        <v>454</v>
      </c>
      <c r="AD84" t="s">
        <v>1866</v>
      </c>
      <c r="AE84" t="s">
        <v>714</v>
      </c>
      <c r="AF84" t="s">
        <v>1866</v>
      </c>
      <c r="AG84" t="s">
        <v>336</v>
      </c>
      <c r="AI84" t="s">
        <v>456</v>
      </c>
    </row>
    <row r="85" spans="1:35">
      <c r="A85" t="s">
        <v>1369</v>
      </c>
      <c r="C85" s="23" t="s">
        <v>2367</v>
      </c>
      <c r="D85" s="23" t="s">
        <v>2368</v>
      </c>
      <c r="AB85">
        <v>64433</v>
      </c>
      <c r="AC85" t="s">
        <v>455</v>
      </c>
      <c r="AD85" t="s">
        <v>1866</v>
      </c>
      <c r="AE85" t="s">
        <v>710</v>
      </c>
      <c r="AF85" t="s">
        <v>1866</v>
      </c>
      <c r="AG85" t="s">
        <v>336</v>
      </c>
      <c r="AI85" t="s">
        <v>458</v>
      </c>
    </row>
    <row r="86" spans="1:35">
      <c r="A86" t="s">
        <v>1359</v>
      </c>
      <c r="C86" s="23" t="s">
        <v>2369</v>
      </c>
      <c r="D86" s="23" t="s">
        <v>2370</v>
      </c>
      <c r="AB86">
        <v>64434</v>
      </c>
      <c r="AC86" t="s">
        <v>456</v>
      </c>
      <c r="AD86" t="s">
        <v>1866</v>
      </c>
      <c r="AE86" t="s">
        <v>710</v>
      </c>
      <c r="AF86" t="s">
        <v>1866</v>
      </c>
      <c r="AG86" t="s">
        <v>336</v>
      </c>
      <c r="AI86" t="s">
        <v>460</v>
      </c>
    </row>
    <row r="87" spans="1:35">
      <c r="A87" t="s">
        <v>50</v>
      </c>
      <c r="C87" s="23" t="s">
        <v>2371</v>
      </c>
      <c r="D87" s="23" t="s">
        <v>2372</v>
      </c>
      <c r="AB87">
        <v>64020</v>
      </c>
      <c r="AC87" t="s">
        <v>458</v>
      </c>
      <c r="AD87" t="s">
        <v>1866</v>
      </c>
      <c r="AE87" t="s">
        <v>698</v>
      </c>
      <c r="AF87" t="s">
        <v>1866</v>
      </c>
      <c r="AG87" t="s">
        <v>336</v>
      </c>
      <c r="AI87" t="s">
        <v>462</v>
      </c>
    </row>
    <row r="88" spans="1:35">
      <c r="C88" s="23" t="s">
        <v>2373</v>
      </c>
      <c r="D88" s="23" t="s">
        <v>2374</v>
      </c>
      <c r="AB88">
        <v>64021</v>
      </c>
      <c r="AC88" t="s">
        <v>460</v>
      </c>
      <c r="AD88" t="s">
        <v>1866</v>
      </c>
      <c r="AE88" t="s">
        <v>698</v>
      </c>
      <c r="AF88" t="s">
        <v>1866</v>
      </c>
      <c r="AG88" t="s">
        <v>336</v>
      </c>
      <c r="AI88" t="s">
        <v>340</v>
      </c>
    </row>
    <row r="89" spans="1:35">
      <c r="A89" t="s">
        <v>1501</v>
      </c>
      <c r="AB89">
        <v>64437</v>
      </c>
      <c r="AC89" t="s">
        <v>462</v>
      </c>
      <c r="AD89" t="s">
        <v>1866</v>
      </c>
      <c r="AE89" t="s">
        <v>528</v>
      </c>
      <c r="AF89" t="s">
        <v>1866</v>
      </c>
      <c r="AG89" t="s">
        <v>336</v>
      </c>
      <c r="AI89" t="s">
        <v>2149</v>
      </c>
    </row>
    <row r="90" spans="1:35">
      <c r="A90" t="s">
        <v>1502</v>
      </c>
      <c r="AB90">
        <v>64436</v>
      </c>
      <c r="AC90" t="s">
        <v>340</v>
      </c>
      <c r="AD90" t="s">
        <v>1866</v>
      </c>
      <c r="AE90" t="s">
        <v>335</v>
      </c>
      <c r="AF90" t="s">
        <v>1866</v>
      </c>
      <c r="AG90" t="s">
        <v>336</v>
      </c>
      <c r="AI90" t="s">
        <v>465</v>
      </c>
    </row>
    <row r="91" spans="1:35">
      <c r="A91" t="s">
        <v>1503</v>
      </c>
      <c r="AB91">
        <v>64058</v>
      </c>
      <c r="AC91" t="s">
        <v>2149</v>
      </c>
      <c r="AD91" t="s">
        <v>1866</v>
      </c>
      <c r="AE91" t="s">
        <v>653</v>
      </c>
      <c r="AF91" t="s">
        <v>302</v>
      </c>
      <c r="AG91" t="s">
        <v>336</v>
      </c>
      <c r="AI91" t="s">
        <v>467</v>
      </c>
    </row>
    <row r="92" spans="1:35">
      <c r="A92" t="s">
        <v>1504</v>
      </c>
      <c r="AB92">
        <v>64437</v>
      </c>
      <c r="AC92" t="s">
        <v>465</v>
      </c>
      <c r="AD92" t="s">
        <v>1866</v>
      </c>
      <c r="AE92" t="s">
        <v>528</v>
      </c>
      <c r="AF92" t="s">
        <v>1866</v>
      </c>
      <c r="AG92" t="s">
        <v>336</v>
      </c>
      <c r="AI92" t="s">
        <v>469</v>
      </c>
    </row>
    <row r="93" spans="1:35">
      <c r="AB93">
        <v>64739</v>
      </c>
      <c r="AC93" t="s">
        <v>467</v>
      </c>
      <c r="AD93" t="s">
        <v>1866</v>
      </c>
      <c r="AE93" t="s">
        <v>625</v>
      </c>
      <c r="AF93" t="s">
        <v>1866</v>
      </c>
      <c r="AG93" t="s">
        <v>336</v>
      </c>
      <c r="AI93" t="s">
        <v>470</v>
      </c>
    </row>
    <row r="94" spans="1:35">
      <c r="A94" t="s">
        <v>1694</v>
      </c>
      <c r="AB94">
        <v>65351</v>
      </c>
      <c r="AC94" t="s">
        <v>469</v>
      </c>
      <c r="AD94" t="s">
        <v>1866</v>
      </c>
      <c r="AE94" t="s">
        <v>715</v>
      </c>
      <c r="AF94" t="s">
        <v>1866</v>
      </c>
      <c r="AG94" t="s">
        <v>336</v>
      </c>
      <c r="AI94" t="s">
        <v>471</v>
      </c>
    </row>
    <row r="95" spans="1:35">
      <c r="A95" t="s">
        <v>1696</v>
      </c>
      <c r="AB95">
        <v>64024</v>
      </c>
      <c r="AC95" t="s">
        <v>470</v>
      </c>
      <c r="AD95" t="s">
        <v>1866</v>
      </c>
      <c r="AE95" t="s">
        <v>523</v>
      </c>
      <c r="AF95" t="s">
        <v>1866</v>
      </c>
      <c r="AG95" t="s">
        <v>336</v>
      </c>
      <c r="AI95" t="s">
        <v>473</v>
      </c>
    </row>
    <row r="96" spans="1:35">
      <c r="A96" t="s">
        <v>1695</v>
      </c>
      <c r="AB96">
        <v>65635</v>
      </c>
      <c r="AC96" t="s">
        <v>471</v>
      </c>
      <c r="AD96" t="s">
        <v>1866</v>
      </c>
      <c r="AE96" t="s">
        <v>575</v>
      </c>
      <c r="AF96" t="s">
        <v>1866</v>
      </c>
      <c r="AG96" t="s">
        <v>336</v>
      </c>
      <c r="AI96" t="s">
        <v>475</v>
      </c>
    </row>
    <row r="97" spans="1:35">
      <c r="A97" t="s">
        <v>1690</v>
      </c>
      <c r="C97" t="s">
        <v>250</v>
      </c>
      <c r="D97" t="s">
        <v>251</v>
      </c>
      <c r="AB97">
        <v>65246</v>
      </c>
      <c r="AC97" t="s">
        <v>473</v>
      </c>
      <c r="AD97" t="s">
        <v>1866</v>
      </c>
      <c r="AE97" t="s">
        <v>501</v>
      </c>
      <c r="AF97" t="s">
        <v>1866</v>
      </c>
      <c r="AG97" t="s">
        <v>336</v>
      </c>
      <c r="AI97" t="s">
        <v>477</v>
      </c>
    </row>
    <row r="98" spans="1:35">
      <c r="A98" t="s">
        <v>1692</v>
      </c>
      <c r="C98" t="s">
        <v>260</v>
      </c>
      <c r="D98" t="s">
        <v>263</v>
      </c>
      <c r="AB98">
        <v>64776</v>
      </c>
      <c r="AC98" t="s">
        <v>475</v>
      </c>
      <c r="AD98" t="s">
        <v>1866</v>
      </c>
      <c r="AE98" t="s">
        <v>714</v>
      </c>
      <c r="AF98" t="s">
        <v>1866</v>
      </c>
      <c r="AG98" t="s">
        <v>336</v>
      </c>
      <c r="AI98" t="s">
        <v>479</v>
      </c>
    </row>
    <row r="99" spans="1:35">
      <c r="A99" t="s">
        <v>1689</v>
      </c>
      <c r="C99" t="s">
        <v>253</v>
      </c>
      <c r="D99" t="s">
        <v>263</v>
      </c>
      <c r="AB99">
        <v>65259</v>
      </c>
      <c r="AC99" t="s">
        <v>477</v>
      </c>
      <c r="AD99" t="s">
        <v>1866</v>
      </c>
      <c r="AE99" t="s">
        <v>542</v>
      </c>
      <c r="AF99" t="s">
        <v>1866</v>
      </c>
      <c r="AG99" t="s">
        <v>336</v>
      </c>
      <c r="AI99" t="s">
        <v>481</v>
      </c>
    </row>
    <row r="100" spans="1:35">
      <c r="A100" t="s">
        <v>1693</v>
      </c>
      <c r="C100" t="s">
        <v>254</v>
      </c>
      <c r="D100" t="s">
        <v>262</v>
      </c>
      <c r="AB100">
        <v>64438</v>
      </c>
      <c r="AC100" t="s">
        <v>479</v>
      </c>
      <c r="AD100" t="s">
        <v>1866</v>
      </c>
      <c r="AE100" t="s">
        <v>543</v>
      </c>
      <c r="AF100" t="s">
        <v>1866</v>
      </c>
      <c r="AG100" t="s">
        <v>336</v>
      </c>
      <c r="AI100" t="s">
        <v>433</v>
      </c>
    </row>
    <row r="101" spans="1:35">
      <c r="A101" t="s">
        <v>1691</v>
      </c>
      <c r="C101" t="s">
        <v>255</v>
      </c>
      <c r="D101" t="s">
        <v>261</v>
      </c>
      <c r="AB101">
        <v>64638</v>
      </c>
      <c r="AC101" t="s">
        <v>481</v>
      </c>
      <c r="AD101" t="s">
        <v>1866</v>
      </c>
      <c r="AE101" t="s">
        <v>706</v>
      </c>
      <c r="AF101" t="s">
        <v>1866</v>
      </c>
      <c r="AG101" t="s">
        <v>336</v>
      </c>
      <c r="AI101" t="s">
        <v>457</v>
      </c>
    </row>
    <row r="102" spans="1:35">
      <c r="A102" t="s">
        <v>246</v>
      </c>
      <c r="C102" t="s">
        <v>256</v>
      </c>
      <c r="D102" t="s">
        <v>263</v>
      </c>
      <c r="AB102">
        <v>64440</v>
      </c>
      <c r="AC102" t="s">
        <v>433</v>
      </c>
      <c r="AD102" t="s">
        <v>1866</v>
      </c>
      <c r="AE102" t="s">
        <v>431</v>
      </c>
      <c r="AF102" t="s">
        <v>1866</v>
      </c>
      <c r="AG102" t="s">
        <v>336</v>
      </c>
      <c r="AI102" t="s">
        <v>485</v>
      </c>
    </row>
    <row r="103" spans="1:35">
      <c r="C103" t="s">
        <v>843</v>
      </c>
      <c r="D103" t="s">
        <v>263</v>
      </c>
      <c r="AB103">
        <v>64639</v>
      </c>
      <c r="AC103" t="s">
        <v>457</v>
      </c>
      <c r="AD103" t="s">
        <v>1866</v>
      </c>
      <c r="AE103" t="s">
        <v>453</v>
      </c>
      <c r="AF103" t="s">
        <v>1866</v>
      </c>
      <c r="AG103" t="s">
        <v>336</v>
      </c>
      <c r="AI103" t="s">
        <v>487</v>
      </c>
    </row>
    <row r="104" spans="1:35">
      <c r="A104" t="s">
        <v>244</v>
      </c>
      <c r="C104" t="s">
        <v>286</v>
      </c>
      <c r="D104" t="s">
        <v>263</v>
      </c>
      <c r="AB104">
        <v>64439</v>
      </c>
      <c r="AC104" t="s">
        <v>485</v>
      </c>
      <c r="AD104" t="s">
        <v>1866</v>
      </c>
      <c r="AE104" t="s">
        <v>712</v>
      </c>
      <c r="AF104" t="s">
        <v>1152</v>
      </c>
      <c r="AG104" t="s">
        <v>1866</v>
      </c>
      <c r="AI104" t="s">
        <v>489</v>
      </c>
    </row>
    <row r="105" spans="1:35">
      <c r="A105" t="s">
        <v>2165</v>
      </c>
      <c r="C105" t="s">
        <v>287</v>
      </c>
      <c r="D105" t="s">
        <v>263</v>
      </c>
      <c r="AB105">
        <v>64740</v>
      </c>
      <c r="AC105" t="s">
        <v>487</v>
      </c>
      <c r="AD105" t="s">
        <v>1866</v>
      </c>
      <c r="AE105" t="s">
        <v>625</v>
      </c>
      <c r="AF105" t="s">
        <v>1866</v>
      </c>
      <c r="AG105" t="s">
        <v>336</v>
      </c>
      <c r="AI105" t="s">
        <v>592</v>
      </c>
    </row>
    <row r="106" spans="1:35">
      <c r="A106" t="s">
        <v>2166</v>
      </c>
      <c r="C106" t="s">
        <v>288</v>
      </c>
      <c r="D106" t="s">
        <v>263</v>
      </c>
      <c r="AB106">
        <v>64741</v>
      </c>
      <c r="AC106" t="s">
        <v>489</v>
      </c>
      <c r="AD106" t="s">
        <v>1866</v>
      </c>
      <c r="AE106" t="s">
        <v>716</v>
      </c>
      <c r="AF106" t="s">
        <v>1866</v>
      </c>
      <c r="AG106" t="s">
        <v>336</v>
      </c>
      <c r="AI106" t="s">
        <v>490</v>
      </c>
    </row>
    <row r="107" spans="1:35">
      <c r="A107" t="s">
        <v>2167</v>
      </c>
      <c r="C107" t="s">
        <v>1071</v>
      </c>
      <c r="D107" t="s">
        <v>263</v>
      </c>
      <c r="AB107">
        <v>64440</v>
      </c>
      <c r="AC107" t="s">
        <v>592</v>
      </c>
      <c r="AD107" t="s">
        <v>1866</v>
      </c>
      <c r="AE107" t="s">
        <v>431</v>
      </c>
      <c r="AF107" t="s">
        <v>1866</v>
      </c>
      <c r="AG107" t="s">
        <v>336</v>
      </c>
      <c r="AI107" t="s">
        <v>492</v>
      </c>
    </row>
    <row r="108" spans="1:35">
      <c r="A108" t="s">
        <v>2168</v>
      </c>
      <c r="C108" t="s">
        <v>1148</v>
      </c>
      <c r="D108" t="s">
        <v>263</v>
      </c>
      <c r="AB108">
        <v>64441</v>
      </c>
      <c r="AC108" t="s">
        <v>490</v>
      </c>
      <c r="AD108" t="s">
        <v>1866</v>
      </c>
      <c r="AE108" t="s">
        <v>708</v>
      </c>
      <c r="AF108" t="s">
        <v>1866</v>
      </c>
      <c r="AG108" t="s">
        <v>336</v>
      </c>
      <c r="AI108" t="s">
        <v>494</v>
      </c>
    </row>
    <row r="109" spans="1:35">
      <c r="C109" t="s">
        <v>1153</v>
      </c>
      <c r="D109" t="s">
        <v>263</v>
      </c>
      <c r="AB109">
        <v>64022</v>
      </c>
      <c r="AC109" t="s">
        <v>492</v>
      </c>
      <c r="AD109" t="s">
        <v>1866</v>
      </c>
      <c r="AE109" t="s">
        <v>698</v>
      </c>
      <c r="AF109" t="s">
        <v>1866</v>
      </c>
      <c r="AG109" t="s">
        <v>336</v>
      </c>
      <c r="AI109" t="s">
        <v>385</v>
      </c>
    </row>
    <row r="110" spans="1:35">
      <c r="A110" t="s">
        <v>842</v>
      </c>
      <c r="C110" t="s">
        <v>1671</v>
      </c>
      <c r="D110" t="s">
        <v>263</v>
      </c>
      <c r="AB110">
        <v>65301</v>
      </c>
      <c r="AC110" t="s">
        <v>494</v>
      </c>
      <c r="AD110" t="s">
        <v>1866</v>
      </c>
      <c r="AE110" t="s">
        <v>711</v>
      </c>
      <c r="AF110" t="s">
        <v>1866</v>
      </c>
      <c r="AG110" t="s">
        <v>336</v>
      </c>
      <c r="AI110" t="s">
        <v>497</v>
      </c>
    </row>
    <row r="111" spans="1:35">
      <c r="A111" t="s">
        <v>21</v>
      </c>
      <c r="C111" t="s">
        <v>1729</v>
      </c>
      <c r="D111" t="s">
        <v>263</v>
      </c>
      <c r="AB111">
        <v>64742</v>
      </c>
      <c r="AC111" t="s">
        <v>385</v>
      </c>
      <c r="AD111" t="s">
        <v>1866</v>
      </c>
      <c r="AE111" t="s">
        <v>380</v>
      </c>
      <c r="AF111" t="s">
        <v>1866</v>
      </c>
      <c r="AG111" t="s">
        <v>336</v>
      </c>
      <c r="AI111" t="s">
        <v>499</v>
      </c>
    </row>
    <row r="112" spans="1:35">
      <c r="A112" t="s">
        <v>243</v>
      </c>
      <c r="C112" t="s">
        <v>1730</v>
      </c>
      <c r="D112" t="s">
        <v>1731</v>
      </c>
      <c r="AB112">
        <v>65351</v>
      </c>
      <c r="AC112" t="s">
        <v>497</v>
      </c>
      <c r="AD112" t="s">
        <v>1866</v>
      </c>
      <c r="AE112" t="s">
        <v>715</v>
      </c>
      <c r="AF112" t="s">
        <v>1866</v>
      </c>
      <c r="AG112" t="s">
        <v>336</v>
      </c>
      <c r="AI112" t="s">
        <v>472</v>
      </c>
    </row>
    <row r="113" spans="1:35">
      <c r="C113" t="s">
        <v>1732</v>
      </c>
      <c r="D113" t="s">
        <v>262</v>
      </c>
      <c r="AB113">
        <v>64442</v>
      </c>
      <c r="AC113" t="s">
        <v>499</v>
      </c>
      <c r="AD113" t="s">
        <v>1866</v>
      </c>
      <c r="AE113" t="s">
        <v>614</v>
      </c>
      <c r="AF113" t="s">
        <v>1866</v>
      </c>
      <c r="AG113" t="s">
        <v>336</v>
      </c>
      <c r="AI113" t="s">
        <v>435</v>
      </c>
    </row>
    <row r="114" spans="1:35">
      <c r="A114" s="463" t="s">
        <v>1062</v>
      </c>
      <c r="AB114">
        <v>64743</v>
      </c>
      <c r="AC114" t="s">
        <v>472</v>
      </c>
      <c r="AD114" t="s">
        <v>1866</v>
      </c>
      <c r="AE114" t="s">
        <v>468</v>
      </c>
      <c r="AF114" t="s">
        <v>1866</v>
      </c>
      <c r="AG114" t="s">
        <v>336</v>
      </c>
      <c r="AI114" t="s">
        <v>502</v>
      </c>
    </row>
    <row r="115" spans="1:35">
      <c r="A115" s="462" t="s">
        <v>1063</v>
      </c>
      <c r="C115" t="s">
        <v>1684</v>
      </c>
      <c r="D115" s="17" t="s">
        <v>845</v>
      </c>
      <c r="AB115">
        <v>64443</v>
      </c>
      <c r="AC115" t="s">
        <v>435</v>
      </c>
      <c r="AD115" t="s">
        <v>1866</v>
      </c>
      <c r="AE115" t="s">
        <v>431</v>
      </c>
      <c r="AF115" t="s">
        <v>1866</v>
      </c>
      <c r="AG115" t="s">
        <v>336</v>
      </c>
      <c r="AI115" t="s">
        <v>405</v>
      </c>
    </row>
    <row r="116" spans="1:35">
      <c r="C116" t="s">
        <v>844</v>
      </c>
      <c r="D116" s="17">
        <v>1</v>
      </c>
      <c r="AB116">
        <v>64444</v>
      </c>
      <c r="AC116" t="s">
        <v>502</v>
      </c>
      <c r="AD116" t="s">
        <v>302</v>
      </c>
      <c r="AE116" t="s">
        <v>712</v>
      </c>
      <c r="AF116" t="s">
        <v>1152</v>
      </c>
      <c r="AG116" t="s">
        <v>1866</v>
      </c>
      <c r="AI116" t="s">
        <v>496</v>
      </c>
    </row>
    <row r="117" spans="1:35">
      <c r="A117" t="s">
        <v>1744</v>
      </c>
      <c r="C117" t="s">
        <v>846</v>
      </c>
      <c r="D117" s="17">
        <v>1</v>
      </c>
      <c r="AB117">
        <v>65326</v>
      </c>
      <c r="AC117" t="s">
        <v>405</v>
      </c>
      <c r="AD117" t="s">
        <v>1866</v>
      </c>
      <c r="AE117" t="s">
        <v>403</v>
      </c>
      <c r="AF117" t="s">
        <v>1866</v>
      </c>
      <c r="AG117" t="s">
        <v>336</v>
      </c>
      <c r="AI117" t="s">
        <v>505</v>
      </c>
    </row>
    <row r="118" spans="1:35">
      <c r="A118" t="s">
        <v>1741</v>
      </c>
      <c r="C118" t="s">
        <v>847</v>
      </c>
      <c r="D118" s="338">
        <v>0.04</v>
      </c>
      <c r="AB118">
        <v>64744</v>
      </c>
      <c r="AC118" t="s">
        <v>496</v>
      </c>
      <c r="AD118" t="s">
        <v>306</v>
      </c>
      <c r="AE118" t="s">
        <v>495</v>
      </c>
      <c r="AF118" t="s">
        <v>1866</v>
      </c>
      <c r="AG118" t="s">
        <v>1866</v>
      </c>
      <c r="AI118" t="s">
        <v>507</v>
      </c>
    </row>
    <row r="119" spans="1:35">
      <c r="A119" t="s">
        <v>1446</v>
      </c>
      <c r="C119" t="s">
        <v>848</v>
      </c>
      <c r="D119" s="338">
        <v>0.45</v>
      </c>
      <c r="AB119">
        <v>64062</v>
      </c>
      <c r="AC119" t="s">
        <v>505</v>
      </c>
      <c r="AD119" t="s">
        <v>1866</v>
      </c>
      <c r="AE119" t="s">
        <v>713</v>
      </c>
      <c r="AF119" t="s">
        <v>1866</v>
      </c>
      <c r="AG119" t="s">
        <v>336</v>
      </c>
      <c r="AI119" t="s">
        <v>509</v>
      </c>
    </row>
    <row r="120" spans="1:35">
      <c r="A120" t="s">
        <v>1445</v>
      </c>
      <c r="C120" t="s">
        <v>1322</v>
      </c>
      <c r="D120" s="347">
        <v>0.75</v>
      </c>
      <c r="AB120">
        <v>64445</v>
      </c>
      <c r="AC120" t="s">
        <v>507</v>
      </c>
      <c r="AD120" t="s">
        <v>1866</v>
      </c>
      <c r="AE120" t="s">
        <v>710</v>
      </c>
      <c r="AF120" t="s">
        <v>1866</v>
      </c>
      <c r="AG120" t="s">
        <v>336</v>
      </c>
      <c r="AI120" t="s">
        <v>511</v>
      </c>
    </row>
    <row r="121" spans="1:35">
      <c r="A121" t="s">
        <v>1443</v>
      </c>
      <c r="C121" t="s">
        <v>1323</v>
      </c>
      <c r="D121" s="339">
        <v>1</v>
      </c>
      <c r="AB121">
        <v>65321</v>
      </c>
      <c r="AC121" t="s">
        <v>509</v>
      </c>
      <c r="AD121" t="s">
        <v>1866</v>
      </c>
      <c r="AE121" t="s">
        <v>715</v>
      </c>
      <c r="AF121" t="s">
        <v>1866</v>
      </c>
      <c r="AG121" t="s">
        <v>336</v>
      </c>
      <c r="AI121" t="s">
        <v>513</v>
      </c>
    </row>
    <row r="122" spans="1:35">
      <c r="A122" t="s">
        <v>1742</v>
      </c>
      <c r="C122" t="s">
        <v>1068</v>
      </c>
      <c r="D122" s="348">
        <v>0.04</v>
      </c>
      <c r="AB122">
        <v>65327</v>
      </c>
      <c r="AC122" t="s">
        <v>511</v>
      </c>
      <c r="AD122" t="s">
        <v>1866</v>
      </c>
      <c r="AE122" t="s">
        <v>698</v>
      </c>
      <c r="AF122" t="s">
        <v>1866</v>
      </c>
      <c r="AG122" t="s">
        <v>336</v>
      </c>
      <c r="AI122" t="s">
        <v>515</v>
      </c>
    </row>
    <row r="123" spans="1:35">
      <c r="A123" t="s">
        <v>1743</v>
      </c>
      <c r="C123" t="s">
        <v>1070</v>
      </c>
      <c r="D123" s="349">
        <v>550</v>
      </c>
      <c r="AB123">
        <v>64020</v>
      </c>
      <c r="AC123" t="s">
        <v>513</v>
      </c>
      <c r="AD123" t="s">
        <v>1866</v>
      </c>
      <c r="AE123" t="s">
        <v>698</v>
      </c>
      <c r="AF123" t="s">
        <v>1866</v>
      </c>
      <c r="AG123" t="s">
        <v>336</v>
      </c>
      <c r="AI123" t="s">
        <v>517</v>
      </c>
    </row>
    <row r="124" spans="1:35">
      <c r="C124" t="s">
        <v>1435</v>
      </c>
      <c r="D124" s="350">
        <v>500000</v>
      </c>
      <c r="AB124">
        <v>65274</v>
      </c>
      <c r="AC124" t="s">
        <v>515</v>
      </c>
      <c r="AD124" t="s">
        <v>1866</v>
      </c>
      <c r="AE124" t="s">
        <v>644</v>
      </c>
      <c r="AF124" t="s">
        <v>1866</v>
      </c>
      <c r="AG124" t="s">
        <v>336</v>
      </c>
      <c r="AI124" t="s">
        <v>519</v>
      </c>
    </row>
    <row r="125" spans="1:35">
      <c r="A125" t="s">
        <v>2100</v>
      </c>
      <c r="C125" t="s">
        <v>1672</v>
      </c>
      <c r="D125" s="338">
        <v>0.4</v>
      </c>
      <c r="AB125">
        <v>65646</v>
      </c>
      <c r="AC125" t="s">
        <v>517</v>
      </c>
      <c r="AD125" t="s">
        <v>1866</v>
      </c>
      <c r="AE125" t="s">
        <v>575</v>
      </c>
      <c r="AF125" t="s">
        <v>1866</v>
      </c>
      <c r="AG125" t="s">
        <v>336</v>
      </c>
      <c r="AI125" t="s">
        <v>521</v>
      </c>
    </row>
    <row r="126" spans="1:35">
      <c r="A126" t="s">
        <v>1360</v>
      </c>
      <c r="C126" t="s">
        <v>1673</v>
      </c>
      <c r="D126" s="339">
        <v>0.5</v>
      </c>
      <c r="AB126">
        <v>64024</v>
      </c>
      <c r="AC126" t="s">
        <v>519</v>
      </c>
      <c r="AD126" t="s">
        <v>1866</v>
      </c>
      <c r="AE126" t="s">
        <v>523</v>
      </c>
      <c r="AF126" t="s">
        <v>1866</v>
      </c>
      <c r="AG126" t="s">
        <v>336</v>
      </c>
      <c r="AI126" t="s">
        <v>351</v>
      </c>
    </row>
    <row r="127" spans="1:35">
      <c r="A127" t="e">
        <f>X02S02F12</f>
        <v>#REF!</v>
      </c>
      <c r="C127" t="s">
        <v>1697</v>
      </c>
      <c r="D127" s="338">
        <v>50000</v>
      </c>
      <c r="AB127">
        <v>64024</v>
      </c>
      <c r="AC127" t="s">
        <v>521</v>
      </c>
      <c r="AD127" t="s">
        <v>1866</v>
      </c>
      <c r="AE127" t="s">
        <v>523</v>
      </c>
      <c r="AF127" t="s">
        <v>1866</v>
      </c>
      <c r="AG127" t="s">
        <v>336</v>
      </c>
      <c r="AI127" t="s">
        <v>524</v>
      </c>
    </row>
    <row r="128" spans="1:35">
      <c r="A128" t="e">
        <f>X02S02F23</f>
        <v>#REF!</v>
      </c>
      <c r="C128" t="s">
        <v>2241</v>
      </c>
      <c r="D128" s="338">
        <v>15000</v>
      </c>
      <c r="AB128">
        <v>64446</v>
      </c>
      <c r="AC128" t="s">
        <v>351</v>
      </c>
      <c r="AD128" t="s">
        <v>1866</v>
      </c>
      <c r="AE128" t="s">
        <v>352</v>
      </c>
      <c r="AF128" t="s">
        <v>1866</v>
      </c>
      <c r="AG128" t="s">
        <v>336</v>
      </c>
      <c r="AI128" t="s">
        <v>525</v>
      </c>
    </row>
    <row r="129" spans="1:35">
      <c r="D129" s="17"/>
      <c r="AB129">
        <v>64447</v>
      </c>
      <c r="AC129" t="s">
        <v>524</v>
      </c>
      <c r="AD129" t="s">
        <v>1866</v>
      </c>
      <c r="AE129" t="s">
        <v>592</v>
      </c>
      <c r="AF129" t="s">
        <v>1866</v>
      </c>
      <c r="AG129" t="s">
        <v>336</v>
      </c>
      <c r="AI129" t="s">
        <v>437</v>
      </c>
    </row>
    <row r="130" spans="1:35">
      <c r="A130" t="s">
        <v>2124</v>
      </c>
      <c r="C130" s="17" t="s">
        <v>1685</v>
      </c>
      <c r="D130" s="17" t="s">
        <v>1686</v>
      </c>
      <c r="AB130">
        <v>64028</v>
      </c>
      <c r="AC130" t="s">
        <v>525</v>
      </c>
      <c r="AD130" t="s">
        <v>1866</v>
      </c>
      <c r="AE130" t="s">
        <v>712</v>
      </c>
      <c r="AF130" t="s">
        <v>1152</v>
      </c>
      <c r="AG130" t="s">
        <v>1866</v>
      </c>
      <c r="AI130" t="s">
        <v>526</v>
      </c>
    </row>
    <row r="131" spans="1:35">
      <c r="A131" t="s">
        <v>2122</v>
      </c>
      <c r="C131" s="17" t="s">
        <v>1687</v>
      </c>
      <c r="D131" s="338">
        <v>0.03</v>
      </c>
      <c r="AB131">
        <v>64448</v>
      </c>
      <c r="AC131" t="s">
        <v>437</v>
      </c>
      <c r="AD131" t="s">
        <v>1866</v>
      </c>
      <c r="AE131" t="s">
        <v>431</v>
      </c>
      <c r="AF131" t="s">
        <v>1866</v>
      </c>
      <c r="AG131" t="s">
        <v>336</v>
      </c>
      <c r="AI131" t="s">
        <v>527</v>
      </c>
    </row>
    <row r="132" spans="1:35">
      <c r="A132" t="s">
        <v>2121</v>
      </c>
      <c r="C132" s="17" t="s">
        <v>1688</v>
      </c>
      <c r="D132" s="338">
        <v>0.04</v>
      </c>
      <c r="AB132">
        <v>65248</v>
      </c>
      <c r="AC132" t="s">
        <v>526</v>
      </c>
      <c r="AD132" t="s">
        <v>302</v>
      </c>
      <c r="AE132" t="s">
        <v>644</v>
      </c>
      <c r="AF132" t="s">
        <v>1866</v>
      </c>
      <c r="AG132" t="s">
        <v>1866</v>
      </c>
      <c r="AI132" t="s">
        <v>342</v>
      </c>
    </row>
    <row r="133" spans="1:35">
      <c r="AB133">
        <v>64163</v>
      </c>
      <c r="AC133" t="s">
        <v>527</v>
      </c>
      <c r="AD133" t="s">
        <v>1866</v>
      </c>
      <c r="AE133" t="s">
        <v>712</v>
      </c>
      <c r="AF133" t="s">
        <v>1152</v>
      </c>
      <c r="AG133" t="s">
        <v>1866</v>
      </c>
      <c r="AI133" t="s">
        <v>2150</v>
      </c>
    </row>
    <row r="134" spans="1:35">
      <c r="C134" s="392" t="s">
        <v>1791</v>
      </c>
      <c r="D134" t="s">
        <v>1793</v>
      </c>
      <c r="AB134">
        <v>64449</v>
      </c>
      <c r="AC134" t="s">
        <v>342</v>
      </c>
      <c r="AD134" t="s">
        <v>1866</v>
      </c>
      <c r="AE134" t="s">
        <v>335</v>
      </c>
      <c r="AF134" t="s">
        <v>1866</v>
      </c>
      <c r="AG134" t="s">
        <v>336</v>
      </c>
      <c r="AI134" t="s">
        <v>529</v>
      </c>
    </row>
    <row r="135" spans="1:35">
      <c r="C135" t="s">
        <v>1792</v>
      </c>
      <c r="D135">
        <v>10.3</v>
      </c>
      <c r="AB135">
        <v>64077</v>
      </c>
      <c r="AC135" t="s">
        <v>2150</v>
      </c>
      <c r="AD135" t="s">
        <v>1866</v>
      </c>
      <c r="AE135" t="s">
        <v>713</v>
      </c>
      <c r="AF135" t="s">
        <v>1866</v>
      </c>
      <c r="AG135" t="s">
        <v>336</v>
      </c>
      <c r="AI135" t="s">
        <v>503</v>
      </c>
    </row>
    <row r="136" spans="1:35">
      <c r="C136" t="s">
        <v>1806</v>
      </c>
      <c r="D136">
        <v>50.5</v>
      </c>
      <c r="AB136">
        <v>64451</v>
      </c>
      <c r="AC136" t="s">
        <v>529</v>
      </c>
      <c r="AD136" t="s">
        <v>1866</v>
      </c>
      <c r="AE136" t="s">
        <v>528</v>
      </c>
      <c r="AF136" t="s">
        <v>1866</v>
      </c>
      <c r="AG136" t="s">
        <v>336</v>
      </c>
      <c r="AI136" t="s">
        <v>532</v>
      </c>
    </row>
    <row r="137" spans="1:35">
      <c r="C137" t="s">
        <v>1805</v>
      </c>
      <c r="D137">
        <v>43.1</v>
      </c>
      <c r="AB137">
        <v>65281</v>
      </c>
      <c r="AC137" t="s">
        <v>503</v>
      </c>
      <c r="AD137" t="s">
        <v>1866</v>
      </c>
      <c r="AE137" t="s">
        <v>501</v>
      </c>
      <c r="AF137" t="s">
        <v>1866</v>
      </c>
      <c r="AG137" t="s">
        <v>336</v>
      </c>
      <c r="AI137" t="s">
        <v>534</v>
      </c>
    </row>
    <row r="138" spans="1:35">
      <c r="C138" t="s">
        <v>1804</v>
      </c>
      <c r="D138">
        <v>25.1</v>
      </c>
      <c r="AB138">
        <v>64088</v>
      </c>
      <c r="AC138" t="s">
        <v>532</v>
      </c>
      <c r="AD138" t="s">
        <v>1866</v>
      </c>
      <c r="AE138" t="s">
        <v>653</v>
      </c>
      <c r="AF138" t="s">
        <v>302</v>
      </c>
      <c r="AG138" t="s">
        <v>336</v>
      </c>
      <c r="AI138" t="s">
        <v>387</v>
      </c>
    </row>
    <row r="139" spans="1:35">
      <c r="C139" t="s">
        <v>1803</v>
      </c>
      <c r="D139">
        <v>28.9</v>
      </c>
      <c r="AB139">
        <v>64437</v>
      </c>
      <c r="AC139" t="s">
        <v>534</v>
      </c>
      <c r="AD139" t="s">
        <v>1866</v>
      </c>
      <c r="AE139" t="s">
        <v>528</v>
      </c>
      <c r="AF139" t="s">
        <v>1866</v>
      </c>
      <c r="AG139" t="s">
        <v>336</v>
      </c>
      <c r="AI139" t="s">
        <v>536</v>
      </c>
    </row>
    <row r="140" spans="1:35">
      <c r="C140" t="s">
        <v>1802</v>
      </c>
      <c r="D140">
        <v>20.100000000000001</v>
      </c>
      <c r="AB140">
        <v>64745</v>
      </c>
      <c r="AC140" t="s">
        <v>387</v>
      </c>
      <c r="AD140" t="s">
        <v>1866</v>
      </c>
      <c r="AE140" t="s">
        <v>380</v>
      </c>
      <c r="AF140" t="s">
        <v>1866</v>
      </c>
      <c r="AG140" t="s">
        <v>336</v>
      </c>
      <c r="AI140" t="s">
        <v>474</v>
      </c>
    </row>
    <row r="141" spans="1:35">
      <c r="C141" t="s">
        <v>1801</v>
      </c>
      <c r="D141">
        <v>15.4</v>
      </c>
      <c r="AB141">
        <v>65250</v>
      </c>
      <c r="AC141" t="s">
        <v>536</v>
      </c>
      <c r="AD141" t="s">
        <v>1866</v>
      </c>
      <c r="AE141" t="s">
        <v>644</v>
      </c>
      <c r="AF141" t="s">
        <v>1866</v>
      </c>
      <c r="AG141" t="s">
        <v>336</v>
      </c>
      <c r="AI141" t="s">
        <v>407</v>
      </c>
    </row>
    <row r="142" spans="1:35">
      <c r="C142" t="s">
        <v>1800</v>
      </c>
      <c r="D142">
        <v>17.5</v>
      </c>
      <c r="AB142">
        <v>64746</v>
      </c>
      <c r="AC142" t="s">
        <v>474</v>
      </c>
      <c r="AD142" t="s">
        <v>1866</v>
      </c>
      <c r="AE142" t="s">
        <v>468</v>
      </c>
      <c r="AF142" t="s">
        <v>1866</v>
      </c>
      <c r="AG142" t="s">
        <v>336</v>
      </c>
      <c r="AI142" t="s">
        <v>540</v>
      </c>
    </row>
    <row r="143" spans="1:35">
      <c r="C143" t="s">
        <v>1799</v>
      </c>
      <c r="D143">
        <v>14.1</v>
      </c>
      <c r="AB143">
        <v>65355</v>
      </c>
      <c r="AC143" t="s">
        <v>407</v>
      </c>
      <c r="AD143" t="s">
        <v>1866</v>
      </c>
      <c r="AE143" t="s">
        <v>403</v>
      </c>
      <c r="AF143" t="s">
        <v>1866</v>
      </c>
      <c r="AG143" t="s">
        <v>336</v>
      </c>
      <c r="AI143" t="s">
        <v>476</v>
      </c>
    </row>
    <row r="144" spans="1:35">
      <c r="C144" t="s">
        <v>1798</v>
      </c>
      <c r="D144">
        <v>21.4</v>
      </c>
      <c r="AB144">
        <v>64640</v>
      </c>
      <c r="AC144" t="s">
        <v>540</v>
      </c>
      <c r="AD144" t="s">
        <v>1866</v>
      </c>
      <c r="AE144" t="s">
        <v>583</v>
      </c>
      <c r="AF144" t="s">
        <v>1866</v>
      </c>
      <c r="AG144" t="s">
        <v>336</v>
      </c>
      <c r="AI144" t="s">
        <v>543</v>
      </c>
    </row>
    <row r="145" spans="3:35">
      <c r="C145" t="s">
        <v>922</v>
      </c>
      <c r="D145">
        <v>15.3</v>
      </c>
      <c r="AB145">
        <v>64747</v>
      </c>
      <c r="AC145" t="s">
        <v>476</v>
      </c>
      <c r="AD145" t="s">
        <v>1866</v>
      </c>
      <c r="AE145" t="s">
        <v>468</v>
      </c>
      <c r="AF145" t="s">
        <v>1866</v>
      </c>
      <c r="AG145" t="s">
        <v>336</v>
      </c>
      <c r="AI145" t="s">
        <v>544</v>
      </c>
    </row>
    <row r="146" spans="3:35">
      <c r="C146" t="s">
        <v>1797</v>
      </c>
      <c r="D146">
        <v>13.2</v>
      </c>
      <c r="AB146">
        <v>64453</v>
      </c>
      <c r="AC146" t="s">
        <v>543</v>
      </c>
      <c r="AD146" t="s">
        <v>1866</v>
      </c>
      <c r="AE146" t="s">
        <v>543</v>
      </c>
      <c r="AF146" t="s">
        <v>1866</v>
      </c>
      <c r="AG146" t="s">
        <v>336</v>
      </c>
      <c r="AI146" t="s">
        <v>545</v>
      </c>
    </row>
    <row r="147" spans="3:35">
      <c r="C147" t="s">
        <v>1810</v>
      </c>
      <c r="D147">
        <v>10.3</v>
      </c>
      <c r="AB147">
        <v>64402</v>
      </c>
      <c r="AC147" t="s">
        <v>544</v>
      </c>
      <c r="AD147" t="s">
        <v>1866</v>
      </c>
      <c r="AE147" t="s">
        <v>543</v>
      </c>
      <c r="AF147" t="s">
        <v>1866</v>
      </c>
      <c r="AG147" t="s">
        <v>336</v>
      </c>
      <c r="AI147" t="s">
        <v>546</v>
      </c>
    </row>
    <row r="148" spans="3:35">
      <c r="C148" t="s">
        <v>1809</v>
      </c>
      <c r="D148">
        <v>4.5</v>
      </c>
      <c r="AB148">
        <v>65301</v>
      </c>
      <c r="AC148" t="s">
        <v>545</v>
      </c>
      <c r="AD148" t="s">
        <v>1866</v>
      </c>
      <c r="AE148" t="s">
        <v>711</v>
      </c>
      <c r="AF148" t="s">
        <v>1866</v>
      </c>
      <c r="AG148" t="s">
        <v>336</v>
      </c>
      <c r="AI148" t="s">
        <v>547</v>
      </c>
    </row>
    <row r="149" spans="3:35">
      <c r="C149" t="s">
        <v>1808</v>
      </c>
      <c r="D149">
        <v>7.3</v>
      </c>
      <c r="AB149">
        <v>65330</v>
      </c>
      <c r="AC149" t="s">
        <v>546</v>
      </c>
      <c r="AD149" t="s">
        <v>1866</v>
      </c>
      <c r="AE149" t="s">
        <v>715</v>
      </c>
      <c r="AF149" t="s">
        <v>1866</v>
      </c>
      <c r="AG149" t="s">
        <v>336</v>
      </c>
      <c r="AI149" t="s">
        <v>315</v>
      </c>
    </row>
    <row r="150" spans="3:35">
      <c r="C150" t="s">
        <v>1807</v>
      </c>
      <c r="D150">
        <v>6.6</v>
      </c>
      <c r="AB150">
        <v>64642</v>
      </c>
      <c r="AC150" t="s">
        <v>547</v>
      </c>
      <c r="AD150" t="s">
        <v>1866</v>
      </c>
      <c r="AE150" t="s">
        <v>614</v>
      </c>
      <c r="AF150" t="s">
        <v>1866</v>
      </c>
      <c r="AG150" t="s">
        <v>336</v>
      </c>
      <c r="AI150" t="s">
        <v>548</v>
      </c>
    </row>
    <row r="151" spans="3:35">
      <c r="C151" t="s">
        <v>30</v>
      </c>
      <c r="D151">
        <v>20.2</v>
      </c>
      <c r="AB151">
        <v>64116</v>
      </c>
      <c r="AC151" t="s">
        <v>315</v>
      </c>
      <c r="AD151" t="s">
        <v>1152</v>
      </c>
      <c r="AE151" t="s">
        <v>523</v>
      </c>
      <c r="AF151" t="s">
        <v>1866</v>
      </c>
      <c r="AG151" t="s">
        <v>1866</v>
      </c>
      <c r="AI151" t="s">
        <v>2151</v>
      </c>
    </row>
    <row r="152" spans="3:35">
      <c r="C152" t="s">
        <v>1796</v>
      </c>
      <c r="D152">
        <v>5.3</v>
      </c>
      <c r="AB152">
        <v>64118</v>
      </c>
      <c r="AC152" t="s">
        <v>315</v>
      </c>
      <c r="AD152" t="s">
        <v>1152</v>
      </c>
      <c r="AE152" t="s">
        <v>523</v>
      </c>
      <c r="AF152" t="s">
        <v>1866</v>
      </c>
      <c r="AG152" t="s">
        <v>1866</v>
      </c>
      <c r="AI152" t="s">
        <v>367</v>
      </c>
    </row>
    <row r="153" spans="3:35">
      <c r="AB153">
        <v>64119</v>
      </c>
      <c r="AC153" t="s">
        <v>315</v>
      </c>
      <c r="AD153" t="s">
        <v>1152</v>
      </c>
      <c r="AE153" t="s">
        <v>523</v>
      </c>
      <c r="AF153" t="s">
        <v>1866</v>
      </c>
      <c r="AG153" t="s">
        <v>1866</v>
      </c>
      <c r="AI153" t="s">
        <v>549</v>
      </c>
    </row>
    <row r="154" spans="3:35">
      <c r="C154" t="s">
        <v>161</v>
      </c>
      <c r="D154" t="s">
        <v>2018</v>
      </c>
      <c r="AB154">
        <v>64155</v>
      </c>
      <c r="AC154" t="s">
        <v>315</v>
      </c>
      <c r="AD154" t="s">
        <v>1152</v>
      </c>
      <c r="AE154" t="s">
        <v>523</v>
      </c>
      <c r="AF154" t="s">
        <v>1866</v>
      </c>
      <c r="AG154" t="s">
        <v>1866</v>
      </c>
      <c r="AI154" t="s">
        <v>551</v>
      </c>
    </row>
    <row r="155" spans="3:35">
      <c r="C155" t="s">
        <v>162</v>
      </c>
      <c r="D155">
        <v>0</v>
      </c>
      <c r="AB155">
        <v>64156</v>
      </c>
      <c r="AC155" t="s">
        <v>315</v>
      </c>
      <c r="AD155" t="s">
        <v>1152</v>
      </c>
      <c r="AE155" t="s">
        <v>523</v>
      </c>
      <c r="AF155" t="s">
        <v>1866</v>
      </c>
      <c r="AG155" t="s">
        <v>1866</v>
      </c>
      <c r="AI155" t="s">
        <v>552</v>
      </c>
    </row>
    <row r="156" spans="3:35">
      <c r="C156" t="s">
        <v>163</v>
      </c>
      <c r="D156">
        <v>1</v>
      </c>
      <c r="AB156">
        <v>64165</v>
      </c>
      <c r="AC156" t="s">
        <v>315</v>
      </c>
      <c r="AD156" t="s">
        <v>1152</v>
      </c>
      <c r="AE156" t="s">
        <v>523</v>
      </c>
      <c r="AF156" t="s">
        <v>1866</v>
      </c>
      <c r="AG156" t="s">
        <v>1866</v>
      </c>
      <c r="AI156" t="s">
        <v>553</v>
      </c>
    </row>
    <row r="157" spans="3:35">
      <c r="C157" t="s">
        <v>28</v>
      </c>
      <c r="D157">
        <v>1</v>
      </c>
      <c r="AB157">
        <v>64166</v>
      </c>
      <c r="AC157" t="s">
        <v>315</v>
      </c>
      <c r="AD157" t="s">
        <v>1152</v>
      </c>
      <c r="AE157" t="s">
        <v>523</v>
      </c>
      <c r="AF157" t="s">
        <v>1866</v>
      </c>
      <c r="AG157" t="s">
        <v>1866</v>
      </c>
      <c r="AI157" t="s">
        <v>316</v>
      </c>
    </row>
    <row r="158" spans="3:35">
      <c r="C158" t="s">
        <v>164</v>
      </c>
      <c r="D158">
        <v>1</v>
      </c>
      <c r="AB158">
        <v>65254</v>
      </c>
      <c r="AC158" t="s">
        <v>548</v>
      </c>
      <c r="AD158" t="s">
        <v>1866</v>
      </c>
      <c r="AE158" t="s">
        <v>644</v>
      </c>
      <c r="AF158" t="s">
        <v>1866</v>
      </c>
      <c r="AG158" t="s">
        <v>336</v>
      </c>
      <c r="AI158" t="s">
        <v>554</v>
      </c>
    </row>
    <row r="159" spans="3:35">
      <c r="C159" t="s">
        <v>165</v>
      </c>
      <c r="D159">
        <v>0</v>
      </c>
      <c r="AB159">
        <v>64068</v>
      </c>
      <c r="AC159" t="s">
        <v>2151</v>
      </c>
      <c r="AD159" t="s">
        <v>1866</v>
      </c>
      <c r="AE159" t="s">
        <v>523</v>
      </c>
      <c r="AF159" t="s">
        <v>1866</v>
      </c>
      <c r="AG159" t="s">
        <v>336</v>
      </c>
      <c r="AI159" t="s">
        <v>555</v>
      </c>
    </row>
    <row r="160" spans="3:35">
      <c r="C160" t="s">
        <v>297</v>
      </c>
      <c r="D160">
        <v>0</v>
      </c>
      <c r="AB160">
        <v>64748</v>
      </c>
      <c r="AC160" t="s">
        <v>367</v>
      </c>
      <c r="AD160" t="s">
        <v>1866</v>
      </c>
      <c r="AE160" t="s">
        <v>365</v>
      </c>
      <c r="AF160" t="s">
        <v>1866</v>
      </c>
      <c r="AG160" t="s">
        <v>336</v>
      </c>
      <c r="AI160" t="s">
        <v>556</v>
      </c>
    </row>
    <row r="161" spans="28:35">
      <c r="AB161">
        <v>64454</v>
      </c>
      <c r="AC161" t="s">
        <v>549</v>
      </c>
      <c r="AD161" t="s">
        <v>1866</v>
      </c>
      <c r="AE161" t="s">
        <v>448</v>
      </c>
      <c r="AF161" t="s">
        <v>1866</v>
      </c>
      <c r="AG161" t="s">
        <v>336</v>
      </c>
      <c r="AI161" t="s">
        <v>557</v>
      </c>
    </row>
    <row r="162" spans="28:35">
      <c r="AB162">
        <v>64455</v>
      </c>
      <c r="AC162" t="s">
        <v>551</v>
      </c>
      <c r="AD162" t="s">
        <v>1866</v>
      </c>
      <c r="AE162" t="s">
        <v>710</v>
      </c>
      <c r="AF162" t="s">
        <v>1866</v>
      </c>
      <c r="AG162" t="s">
        <v>336</v>
      </c>
      <c r="AI162" t="s">
        <v>558</v>
      </c>
    </row>
    <row r="163" spans="28:35">
      <c r="AB163">
        <v>64029</v>
      </c>
      <c r="AC163" t="s">
        <v>552</v>
      </c>
      <c r="AD163" t="s">
        <v>306</v>
      </c>
      <c r="AE163" t="s">
        <v>653</v>
      </c>
      <c r="AF163" t="s">
        <v>302</v>
      </c>
      <c r="AG163" t="s">
        <v>1866</v>
      </c>
      <c r="AI163" t="s">
        <v>478</v>
      </c>
    </row>
    <row r="164" spans="28:35">
      <c r="AB164">
        <v>65339</v>
      </c>
      <c r="AC164" t="s">
        <v>553</v>
      </c>
      <c r="AD164" t="s">
        <v>1866</v>
      </c>
      <c r="AE164" t="s">
        <v>715</v>
      </c>
      <c r="AF164" t="s">
        <v>1866</v>
      </c>
      <c r="AG164" t="s">
        <v>336</v>
      </c>
      <c r="AI164" t="s">
        <v>459</v>
      </c>
    </row>
    <row r="165" spans="28:35">
      <c r="AB165">
        <v>64030</v>
      </c>
      <c r="AC165" t="s">
        <v>316</v>
      </c>
      <c r="AD165" t="s">
        <v>1152</v>
      </c>
      <c r="AE165" t="s">
        <v>653</v>
      </c>
      <c r="AF165" t="s">
        <v>302</v>
      </c>
      <c r="AG165" t="s">
        <v>1866</v>
      </c>
      <c r="AI165" t="s">
        <v>559</v>
      </c>
    </row>
    <row r="166" spans="28:35">
      <c r="AB166">
        <v>64456</v>
      </c>
      <c r="AC166" t="s">
        <v>554</v>
      </c>
      <c r="AD166" t="s">
        <v>1866</v>
      </c>
      <c r="AE166" t="s">
        <v>708</v>
      </c>
      <c r="AF166" t="s">
        <v>1866</v>
      </c>
      <c r="AG166" t="s">
        <v>336</v>
      </c>
      <c r="AI166" t="s">
        <v>480</v>
      </c>
    </row>
    <row r="167" spans="28:35">
      <c r="AB167">
        <v>65332</v>
      </c>
      <c r="AC167" t="s">
        <v>555</v>
      </c>
      <c r="AD167" t="s">
        <v>1866</v>
      </c>
      <c r="AE167" t="s">
        <v>711</v>
      </c>
      <c r="AF167" t="s">
        <v>1866</v>
      </c>
      <c r="AG167" t="s">
        <v>336</v>
      </c>
      <c r="AI167" t="s">
        <v>560</v>
      </c>
    </row>
    <row r="168" spans="28:35">
      <c r="AB168">
        <v>65661</v>
      </c>
      <c r="AC168" t="s">
        <v>556</v>
      </c>
      <c r="AD168" t="s">
        <v>1866</v>
      </c>
      <c r="AE168" t="s">
        <v>575</v>
      </c>
      <c r="AF168" t="s">
        <v>1866</v>
      </c>
      <c r="AG168" t="s">
        <v>336</v>
      </c>
      <c r="AI168" t="s">
        <v>561</v>
      </c>
    </row>
    <row r="169" spans="28:35">
      <c r="AB169">
        <v>64034</v>
      </c>
      <c r="AC169" t="s">
        <v>557</v>
      </c>
      <c r="AD169" t="s">
        <v>1866</v>
      </c>
      <c r="AE169" t="s">
        <v>653</v>
      </c>
      <c r="AF169" t="s">
        <v>302</v>
      </c>
      <c r="AG169" t="s">
        <v>336</v>
      </c>
      <c r="AI169" t="s">
        <v>409</v>
      </c>
    </row>
    <row r="170" spans="28:35">
      <c r="AB170">
        <v>64457</v>
      </c>
      <c r="AC170" t="s">
        <v>558</v>
      </c>
      <c r="AD170" t="s">
        <v>1866</v>
      </c>
      <c r="AE170" t="s">
        <v>710</v>
      </c>
      <c r="AF170" t="s">
        <v>1866</v>
      </c>
      <c r="AG170" t="s">
        <v>336</v>
      </c>
      <c r="AI170" t="s">
        <v>563</v>
      </c>
    </row>
    <row r="171" spans="28:35">
      <c r="AB171">
        <v>64747</v>
      </c>
      <c r="AC171" t="s">
        <v>478</v>
      </c>
      <c r="AD171" t="s">
        <v>1866</v>
      </c>
      <c r="AE171" t="s">
        <v>468</v>
      </c>
      <c r="AF171" t="s">
        <v>1866</v>
      </c>
      <c r="AG171" t="s">
        <v>336</v>
      </c>
      <c r="AI171" t="s">
        <v>344</v>
      </c>
    </row>
    <row r="172" spans="28:35">
      <c r="AB172">
        <v>64643</v>
      </c>
      <c r="AC172" t="s">
        <v>459</v>
      </c>
      <c r="AD172" t="s">
        <v>1866</v>
      </c>
      <c r="AE172" t="s">
        <v>453</v>
      </c>
      <c r="AF172" t="s">
        <v>1866</v>
      </c>
      <c r="AG172" t="s">
        <v>336</v>
      </c>
      <c r="AI172" t="s">
        <v>564</v>
      </c>
    </row>
    <row r="173" spans="28:35">
      <c r="AB173">
        <v>64035</v>
      </c>
      <c r="AC173" t="s">
        <v>559</v>
      </c>
      <c r="AD173" t="s">
        <v>1866</v>
      </c>
      <c r="AE173" t="s">
        <v>713</v>
      </c>
      <c r="AF173" t="s">
        <v>1866</v>
      </c>
      <c r="AG173" t="s">
        <v>336</v>
      </c>
      <c r="AI173" t="s">
        <v>566</v>
      </c>
    </row>
    <row r="174" spans="28:35">
      <c r="AB174">
        <v>64701</v>
      </c>
      <c r="AC174" t="s">
        <v>480</v>
      </c>
      <c r="AD174" t="s">
        <v>1866</v>
      </c>
      <c r="AE174" t="s">
        <v>468</v>
      </c>
      <c r="AF174" t="s">
        <v>1866</v>
      </c>
      <c r="AG174" t="s">
        <v>336</v>
      </c>
      <c r="AI174" t="s">
        <v>567</v>
      </c>
    </row>
    <row r="175" spans="28:35">
      <c r="AB175">
        <v>64788</v>
      </c>
      <c r="AC175" t="s">
        <v>560</v>
      </c>
      <c r="AD175" t="s">
        <v>1866</v>
      </c>
      <c r="AE175" t="s">
        <v>625</v>
      </c>
      <c r="AF175" t="s">
        <v>1866</v>
      </c>
      <c r="AG175" t="s">
        <v>336</v>
      </c>
      <c r="AI175" t="s">
        <v>568</v>
      </c>
    </row>
    <row r="176" spans="28:35">
      <c r="AB176">
        <v>64750</v>
      </c>
      <c r="AC176" t="s">
        <v>561</v>
      </c>
      <c r="AD176" t="s">
        <v>1866</v>
      </c>
      <c r="AE176" t="s">
        <v>716</v>
      </c>
      <c r="AF176" t="s">
        <v>1866</v>
      </c>
      <c r="AG176" t="s">
        <v>336</v>
      </c>
      <c r="AI176" t="s">
        <v>570</v>
      </c>
    </row>
    <row r="177" spans="28:35">
      <c r="AB177">
        <v>65326</v>
      </c>
      <c r="AC177" t="s">
        <v>409</v>
      </c>
      <c r="AD177" t="s">
        <v>1866</v>
      </c>
      <c r="AE177" t="s">
        <v>403</v>
      </c>
      <c r="AF177" t="s">
        <v>1866</v>
      </c>
      <c r="AG177" t="s">
        <v>336</v>
      </c>
      <c r="AI177" t="s">
        <v>528</v>
      </c>
    </row>
    <row r="178" spans="28:35">
      <c r="AB178">
        <v>64458</v>
      </c>
      <c r="AC178" t="s">
        <v>563</v>
      </c>
      <c r="AD178" t="s">
        <v>1866</v>
      </c>
      <c r="AE178" t="s">
        <v>614</v>
      </c>
      <c r="AF178" t="s">
        <v>1866</v>
      </c>
      <c r="AG178" t="s">
        <v>336</v>
      </c>
      <c r="AI178" t="s">
        <v>530</v>
      </c>
    </row>
    <row r="179" spans="28:35">
      <c r="AB179">
        <v>64459</v>
      </c>
      <c r="AC179" t="s">
        <v>344</v>
      </c>
      <c r="AD179" t="s">
        <v>1866</v>
      </c>
      <c r="AE179" t="s">
        <v>335</v>
      </c>
      <c r="AF179" t="s">
        <v>1866</v>
      </c>
      <c r="AG179" t="s">
        <v>336</v>
      </c>
      <c r="AI179" t="s">
        <v>574</v>
      </c>
    </row>
    <row r="180" spans="28:35">
      <c r="AB180">
        <v>64490</v>
      </c>
      <c r="AC180" t="s">
        <v>564</v>
      </c>
      <c r="AD180" t="s">
        <v>1866</v>
      </c>
      <c r="AE180" t="s">
        <v>592</v>
      </c>
      <c r="AF180" t="s">
        <v>1866</v>
      </c>
      <c r="AG180" t="s">
        <v>336</v>
      </c>
      <c r="AI180" t="s">
        <v>576</v>
      </c>
    </row>
    <row r="181" spans="28:35">
      <c r="AB181">
        <v>64036</v>
      </c>
      <c r="AC181" t="s">
        <v>566</v>
      </c>
      <c r="AD181" t="s">
        <v>1866</v>
      </c>
      <c r="AE181" t="s">
        <v>713</v>
      </c>
      <c r="AF181" t="s">
        <v>1866</v>
      </c>
      <c r="AG181" t="s">
        <v>336</v>
      </c>
      <c r="AI181" t="s">
        <v>577</v>
      </c>
    </row>
    <row r="182" spans="28:35">
      <c r="AB182">
        <v>65257</v>
      </c>
      <c r="AC182" t="s">
        <v>567</v>
      </c>
      <c r="AD182" t="s">
        <v>1866</v>
      </c>
      <c r="AE182" t="s">
        <v>542</v>
      </c>
      <c r="AF182" t="s">
        <v>1866</v>
      </c>
      <c r="AG182" t="s">
        <v>336</v>
      </c>
      <c r="AI182" t="s">
        <v>578</v>
      </c>
    </row>
    <row r="183" spans="28:35">
      <c r="AB183">
        <v>64037</v>
      </c>
      <c r="AC183" t="s">
        <v>568</v>
      </c>
      <c r="AD183" t="s">
        <v>302</v>
      </c>
      <c r="AE183" t="s">
        <v>698</v>
      </c>
      <c r="AF183" t="s">
        <v>1866</v>
      </c>
      <c r="AG183" t="s">
        <v>1866</v>
      </c>
      <c r="AI183" t="s">
        <v>579</v>
      </c>
    </row>
    <row r="184" spans="28:35">
      <c r="AB184">
        <v>64040</v>
      </c>
      <c r="AC184" t="s">
        <v>570</v>
      </c>
      <c r="AD184" t="s">
        <v>302</v>
      </c>
      <c r="AE184" t="s">
        <v>692</v>
      </c>
      <c r="AF184" t="s">
        <v>1866</v>
      </c>
      <c r="AG184" t="s">
        <v>1866</v>
      </c>
      <c r="AI184" t="s">
        <v>389</v>
      </c>
    </row>
    <row r="185" spans="28:35">
      <c r="AB185">
        <v>64048</v>
      </c>
      <c r="AC185" t="s">
        <v>528</v>
      </c>
      <c r="AD185" t="s">
        <v>1866</v>
      </c>
      <c r="AE185" t="s">
        <v>523</v>
      </c>
      <c r="AF185" t="s">
        <v>1866</v>
      </c>
      <c r="AG185" t="s">
        <v>336</v>
      </c>
      <c r="AI185" t="s">
        <v>582</v>
      </c>
    </row>
    <row r="186" spans="28:35">
      <c r="AB186">
        <v>64024</v>
      </c>
      <c r="AC186" t="s">
        <v>530</v>
      </c>
      <c r="AD186" t="s">
        <v>1866</v>
      </c>
      <c r="AE186" t="s">
        <v>523</v>
      </c>
      <c r="AF186" t="s">
        <v>1866</v>
      </c>
      <c r="AG186" t="s">
        <v>336</v>
      </c>
      <c r="AI186" t="s">
        <v>368</v>
      </c>
    </row>
    <row r="187" spans="28:35">
      <c r="AB187">
        <v>64461</v>
      </c>
      <c r="AC187" t="s">
        <v>574</v>
      </c>
      <c r="AD187" t="s">
        <v>1866</v>
      </c>
      <c r="AE187" t="s">
        <v>710</v>
      </c>
      <c r="AF187" t="s">
        <v>1866</v>
      </c>
      <c r="AG187" t="s">
        <v>336</v>
      </c>
      <c r="AI187" t="s">
        <v>584</v>
      </c>
    </row>
    <row r="188" spans="28:35">
      <c r="AB188">
        <v>64751</v>
      </c>
      <c r="AC188" t="s">
        <v>576</v>
      </c>
      <c r="AD188" t="s">
        <v>1866</v>
      </c>
      <c r="AE188" t="s">
        <v>716</v>
      </c>
      <c r="AF188" t="s">
        <v>1866</v>
      </c>
      <c r="AG188" t="s">
        <v>336</v>
      </c>
      <c r="AI188" t="s">
        <v>504</v>
      </c>
    </row>
    <row r="189" spans="28:35">
      <c r="AB189">
        <v>64151</v>
      </c>
      <c r="AC189" t="s">
        <v>577</v>
      </c>
      <c r="AD189" t="s">
        <v>1866</v>
      </c>
      <c r="AE189" t="s">
        <v>712</v>
      </c>
      <c r="AF189" t="s">
        <v>1152</v>
      </c>
      <c r="AG189" t="s">
        <v>1866</v>
      </c>
      <c r="AI189" t="s">
        <v>410</v>
      </c>
    </row>
    <row r="190" spans="28:35">
      <c r="AB190">
        <v>65333</v>
      </c>
      <c r="AC190" t="s">
        <v>578</v>
      </c>
      <c r="AD190" t="s">
        <v>1866</v>
      </c>
      <c r="AE190" t="s">
        <v>711</v>
      </c>
      <c r="AF190" t="s">
        <v>1866</v>
      </c>
      <c r="AG190" t="s">
        <v>336</v>
      </c>
      <c r="AI190" t="s">
        <v>370</v>
      </c>
    </row>
    <row r="191" spans="28:35">
      <c r="AB191">
        <v>65334</v>
      </c>
      <c r="AC191" t="s">
        <v>579</v>
      </c>
      <c r="AD191" t="s">
        <v>1866</v>
      </c>
      <c r="AE191" t="s">
        <v>711</v>
      </c>
      <c r="AF191" t="s">
        <v>1866</v>
      </c>
      <c r="AG191" t="s">
        <v>336</v>
      </c>
      <c r="AI191" t="s">
        <v>588</v>
      </c>
    </row>
    <row r="192" spans="28:35">
      <c r="AB192">
        <v>64752</v>
      </c>
      <c r="AC192" t="s">
        <v>389</v>
      </c>
      <c r="AD192" t="s">
        <v>1866</v>
      </c>
      <c r="AE192" t="s">
        <v>380</v>
      </c>
      <c r="AF192" t="s">
        <v>1866</v>
      </c>
      <c r="AG192" t="s">
        <v>336</v>
      </c>
      <c r="AI192" t="s">
        <v>585</v>
      </c>
    </row>
    <row r="193" spans="28:35">
      <c r="AB193">
        <v>65259</v>
      </c>
      <c r="AC193" t="s">
        <v>582</v>
      </c>
      <c r="AD193" t="s">
        <v>1866</v>
      </c>
      <c r="AE193" t="s">
        <v>542</v>
      </c>
      <c r="AF193" t="s">
        <v>1866</v>
      </c>
      <c r="AG193" t="s">
        <v>336</v>
      </c>
      <c r="AI193" t="s">
        <v>586</v>
      </c>
    </row>
    <row r="194" spans="28:35">
      <c r="AB194">
        <v>64759</v>
      </c>
      <c r="AC194" t="s">
        <v>368</v>
      </c>
      <c r="AD194" t="s">
        <v>1866</v>
      </c>
      <c r="AE194" t="s">
        <v>365</v>
      </c>
      <c r="AF194" t="s">
        <v>1866</v>
      </c>
      <c r="AG194" t="s">
        <v>336</v>
      </c>
      <c r="AI194" t="s">
        <v>498</v>
      </c>
    </row>
    <row r="195" spans="28:35">
      <c r="AB195">
        <v>64050</v>
      </c>
      <c r="AC195" t="s">
        <v>584</v>
      </c>
      <c r="AD195" t="s">
        <v>1866</v>
      </c>
      <c r="AE195" t="s">
        <v>653</v>
      </c>
      <c r="AF195" t="s">
        <v>302</v>
      </c>
      <c r="AG195" t="s">
        <v>336</v>
      </c>
      <c r="AI195" t="s">
        <v>550</v>
      </c>
    </row>
    <row r="196" spans="28:35">
      <c r="AB196">
        <v>64051</v>
      </c>
      <c r="AC196" t="s">
        <v>584</v>
      </c>
      <c r="AD196" t="s">
        <v>1866</v>
      </c>
      <c r="AE196" t="s">
        <v>653</v>
      </c>
      <c r="AF196" t="s">
        <v>302</v>
      </c>
      <c r="AG196" t="s">
        <v>336</v>
      </c>
      <c r="AI196" t="s">
        <v>531</v>
      </c>
    </row>
    <row r="197" spans="28:35">
      <c r="AB197">
        <v>64052</v>
      </c>
      <c r="AC197" t="s">
        <v>584</v>
      </c>
      <c r="AD197" t="s">
        <v>1866</v>
      </c>
      <c r="AE197" t="s">
        <v>653</v>
      </c>
      <c r="AF197" t="s">
        <v>302</v>
      </c>
      <c r="AG197" t="s">
        <v>336</v>
      </c>
      <c r="AI197" t="s">
        <v>506</v>
      </c>
    </row>
    <row r="198" spans="28:35">
      <c r="AB198">
        <v>64053</v>
      </c>
      <c r="AC198" t="s">
        <v>584</v>
      </c>
      <c r="AD198" t="s">
        <v>1866</v>
      </c>
      <c r="AE198" t="s">
        <v>653</v>
      </c>
      <c r="AF198" t="s">
        <v>302</v>
      </c>
      <c r="AG198" t="s">
        <v>336</v>
      </c>
      <c r="AI198" t="s">
        <v>594</v>
      </c>
    </row>
    <row r="199" spans="28:35">
      <c r="AB199">
        <v>64054</v>
      </c>
      <c r="AC199" t="s">
        <v>584</v>
      </c>
      <c r="AD199" t="s">
        <v>1866</v>
      </c>
      <c r="AE199" t="s">
        <v>653</v>
      </c>
      <c r="AF199" t="s">
        <v>302</v>
      </c>
      <c r="AG199" t="s">
        <v>336</v>
      </c>
      <c r="AI199" t="s">
        <v>596</v>
      </c>
    </row>
    <row r="200" spans="28:35">
      <c r="AB200">
        <v>64055</v>
      </c>
      <c r="AC200" t="s">
        <v>584</v>
      </c>
      <c r="AD200" t="s">
        <v>1866</v>
      </c>
      <c r="AE200" t="s">
        <v>653</v>
      </c>
      <c r="AF200" t="s">
        <v>302</v>
      </c>
      <c r="AG200" t="s">
        <v>336</v>
      </c>
      <c r="AI200" t="s">
        <v>598</v>
      </c>
    </row>
    <row r="201" spans="28:35">
      <c r="AB201">
        <v>64056</v>
      </c>
      <c r="AC201" t="s">
        <v>584</v>
      </c>
      <c r="AD201" t="s">
        <v>1866</v>
      </c>
      <c r="AE201" t="s">
        <v>653</v>
      </c>
      <c r="AF201" t="s">
        <v>302</v>
      </c>
      <c r="AG201" t="s">
        <v>336</v>
      </c>
      <c r="AI201" t="s">
        <v>600</v>
      </c>
    </row>
    <row r="202" spans="28:35">
      <c r="AB202">
        <v>64057</v>
      </c>
      <c r="AC202" t="s">
        <v>584</v>
      </c>
      <c r="AD202" t="s">
        <v>1866</v>
      </c>
      <c r="AE202" t="s">
        <v>653</v>
      </c>
      <c r="AF202" t="s">
        <v>302</v>
      </c>
      <c r="AG202" t="s">
        <v>336</v>
      </c>
      <c r="AI202" t="s">
        <v>482</v>
      </c>
    </row>
    <row r="203" spans="28:35">
      <c r="AB203">
        <v>64058</v>
      </c>
      <c r="AC203" t="s">
        <v>584</v>
      </c>
      <c r="AD203" t="s">
        <v>1866</v>
      </c>
      <c r="AE203" t="s">
        <v>653</v>
      </c>
      <c r="AF203" t="s">
        <v>302</v>
      </c>
      <c r="AG203" t="s">
        <v>336</v>
      </c>
      <c r="AI203" t="s">
        <v>602</v>
      </c>
    </row>
    <row r="204" spans="28:35">
      <c r="AB204">
        <v>65236</v>
      </c>
      <c r="AC204" t="s">
        <v>504</v>
      </c>
      <c r="AD204" t="s">
        <v>1866</v>
      </c>
      <c r="AE204" t="s">
        <v>501</v>
      </c>
      <c r="AF204" t="s">
        <v>1866</v>
      </c>
      <c r="AG204" t="s">
        <v>336</v>
      </c>
      <c r="AI204" t="s">
        <v>603</v>
      </c>
    </row>
    <row r="205" spans="28:35">
      <c r="AB205">
        <v>65335</v>
      </c>
      <c r="AC205" t="s">
        <v>410</v>
      </c>
      <c r="AD205" t="s">
        <v>1866</v>
      </c>
      <c r="AE205" t="s">
        <v>403</v>
      </c>
      <c r="AF205" t="s">
        <v>1866</v>
      </c>
      <c r="AG205" t="s">
        <v>336</v>
      </c>
      <c r="AI205" t="s">
        <v>604</v>
      </c>
    </row>
    <row r="206" spans="28:35">
      <c r="AB206">
        <v>64759</v>
      </c>
      <c r="AC206" t="s">
        <v>370</v>
      </c>
      <c r="AD206" t="s">
        <v>1866</v>
      </c>
      <c r="AE206" t="s">
        <v>365</v>
      </c>
      <c r="AF206" t="s">
        <v>1866</v>
      </c>
      <c r="AG206" t="s">
        <v>336</v>
      </c>
      <c r="AI206" t="s">
        <v>587</v>
      </c>
    </row>
    <row r="207" spans="28:35">
      <c r="AB207">
        <v>65260</v>
      </c>
      <c r="AC207" t="s">
        <v>588</v>
      </c>
      <c r="AD207" t="s">
        <v>1866</v>
      </c>
      <c r="AE207" t="s">
        <v>542</v>
      </c>
      <c r="AF207" t="s">
        <v>1866</v>
      </c>
      <c r="AG207" t="s">
        <v>336</v>
      </c>
      <c r="AI207" t="s">
        <v>605</v>
      </c>
    </row>
    <row r="208" spans="28:35">
      <c r="AB208">
        <v>64647</v>
      </c>
      <c r="AC208" t="s">
        <v>585</v>
      </c>
      <c r="AD208" t="s">
        <v>1866</v>
      </c>
      <c r="AE208" t="s">
        <v>583</v>
      </c>
      <c r="AF208" t="s">
        <v>1866</v>
      </c>
      <c r="AG208" t="s">
        <v>336</v>
      </c>
      <c r="AI208" t="s">
        <v>607</v>
      </c>
    </row>
    <row r="209" spans="28:35">
      <c r="AB209">
        <v>64648</v>
      </c>
      <c r="AC209" t="s">
        <v>586</v>
      </c>
      <c r="AD209" t="s">
        <v>1866</v>
      </c>
      <c r="AE209" t="s">
        <v>583</v>
      </c>
      <c r="AF209" t="s">
        <v>1866</v>
      </c>
      <c r="AG209" t="s">
        <v>336</v>
      </c>
      <c r="AI209" t="s">
        <v>412</v>
      </c>
    </row>
    <row r="210" spans="28:35">
      <c r="AB210">
        <v>64756</v>
      </c>
      <c r="AC210" t="s">
        <v>498</v>
      </c>
      <c r="AD210" t="s">
        <v>1866</v>
      </c>
      <c r="AE210" t="s">
        <v>495</v>
      </c>
      <c r="AF210" t="s">
        <v>1866</v>
      </c>
      <c r="AG210" t="s">
        <v>336</v>
      </c>
      <c r="AI210" t="s">
        <v>372</v>
      </c>
    </row>
    <row r="211" spans="28:35">
      <c r="AB211">
        <v>64101</v>
      </c>
      <c r="AC211" t="s">
        <v>550</v>
      </c>
      <c r="AD211" s="48" t="s">
        <v>2213</v>
      </c>
      <c r="AE211" t="s">
        <v>653</v>
      </c>
      <c r="AF211" t="s">
        <v>302</v>
      </c>
      <c r="AG211" t="s">
        <v>1866</v>
      </c>
      <c r="AI211" t="s">
        <v>2152</v>
      </c>
    </row>
    <row r="212" spans="28:35">
      <c r="AB212">
        <v>64102</v>
      </c>
      <c r="AC212" t="s">
        <v>550</v>
      </c>
      <c r="AD212" s="48" t="s">
        <v>2213</v>
      </c>
      <c r="AE212" t="s">
        <v>653</v>
      </c>
      <c r="AF212" t="s">
        <v>302</v>
      </c>
      <c r="AG212" t="s">
        <v>1866</v>
      </c>
      <c r="AI212" t="s">
        <v>354</v>
      </c>
    </row>
    <row r="213" spans="28:35">
      <c r="AB213">
        <v>64105</v>
      </c>
      <c r="AC213" t="s">
        <v>550</v>
      </c>
      <c r="AD213" s="48" t="s">
        <v>2213</v>
      </c>
      <c r="AE213" t="s">
        <v>653</v>
      </c>
      <c r="AF213" t="s">
        <v>302</v>
      </c>
      <c r="AG213" t="s">
        <v>1866</v>
      </c>
      <c r="AI213" t="s">
        <v>610</v>
      </c>
    </row>
    <row r="214" spans="28:35">
      <c r="AB214">
        <v>64106</v>
      </c>
      <c r="AC214" t="s">
        <v>550</v>
      </c>
      <c r="AD214" s="48" t="s">
        <v>2213</v>
      </c>
      <c r="AE214" t="s">
        <v>653</v>
      </c>
      <c r="AF214" t="s">
        <v>302</v>
      </c>
      <c r="AG214" t="s">
        <v>1866</v>
      </c>
      <c r="AI214" t="s">
        <v>569</v>
      </c>
    </row>
    <row r="215" spans="28:35">
      <c r="AB215">
        <v>64108</v>
      </c>
      <c r="AC215" t="s">
        <v>550</v>
      </c>
      <c r="AD215" s="48" t="s">
        <v>2213</v>
      </c>
      <c r="AE215" t="s">
        <v>653</v>
      </c>
      <c r="AF215" t="s">
        <v>302</v>
      </c>
      <c r="AG215" t="s">
        <v>1866</v>
      </c>
      <c r="AI215" t="s">
        <v>483</v>
      </c>
    </row>
    <row r="216" spans="28:35">
      <c r="AB216">
        <v>64109</v>
      </c>
      <c r="AC216" t="s">
        <v>550</v>
      </c>
      <c r="AD216" s="48" t="s">
        <v>2213</v>
      </c>
      <c r="AE216" t="s">
        <v>653</v>
      </c>
      <c r="AF216" t="s">
        <v>302</v>
      </c>
      <c r="AG216" t="s">
        <v>1866</v>
      </c>
      <c r="AI216" t="s">
        <v>615</v>
      </c>
    </row>
    <row r="217" spans="28:35">
      <c r="AB217">
        <v>64110</v>
      </c>
      <c r="AC217" t="s">
        <v>550</v>
      </c>
      <c r="AD217" s="48" t="s">
        <v>2213</v>
      </c>
      <c r="AE217" t="s">
        <v>653</v>
      </c>
      <c r="AF217" t="s">
        <v>302</v>
      </c>
      <c r="AG217" t="s">
        <v>1866</v>
      </c>
      <c r="AI217" t="s">
        <v>616</v>
      </c>
    </row>
    <row r="218" spans="28:35">
      <c r="AB218">
        <v>64111</v>
      </c>
      <c r="AC218" t="s">
        <v>550</v>
      </c>
      <c r="AD218" s="48" t="s">
        <v>2213</v>
      </c>
      <c r="AE218" t="s">
        <v>653</v>
      </c>
      <c r="AF218" t="s">
        <v>302</v>
      </c>
      <c r="AG218" t="s">
        <v>1866</v>
      </c>
      <c r="AI218" t="s">
        <v>617</v>
      </c>
    </row>
    <row r="219" spans="28:35">
      <c r="AB219">
        <v>64112</v>
      </c>
      <c r="AC219" t="s">
        <v>550</v>
      </c>
      <c r="AD219" s="48" t="s">
        <v>2213</v>
      </c>
      <c r="AE219" t="s">
        <v>653</v>
      </c>
      <c r="AF219" t="s">
        <v>302</v>
      </c>
      <c r="AG219" t="s">
        <v>1866</v>
      </c>
      <c r="AI219" t="s">
        <v>618</v>
      </c>
    </row>
    <row r="220" spans="28:35">
      <c r="AB220">
        <v>64113</v>
      </c>
      <c r="AC220" t="s">
        <v>550</v>
      </c>
      <c r="AD220" s="48" t="s">
        <v>2213</v>
      </c>
      <c r="AE220" t="s">
        <v>653</v>
      </c>
      <c r="AF220" t="s">
        <v>302</v>
      </c>
      <c r="AG220" t="s">
        <v>1866</v>
      </c>
      <c r="AI220" t="s">
        <v>2153</v>
      </c>
    </row>
    <row r="221" spans="28:35">
      <c r="AB221">
        <v>64114</v>
      </c>
      <c r="AC221" t="s">
        <v>550</v>
      </c>
      <c r="AD221" s="48" t="s">
        <v>2213</v>
      </c>
      <c r="AE221" t="s">
        <v>653</v>
      </c>
      <c r="AF221" t="s">
        <v>302</v>
      </c>
      <c r="AG221" t="s">
        <v>1866</v>
      </c>
      <c r="AI221" t="s">
        <v>619</v>
      </c>
    </row>
    <row r="222" spans="28:35">
      <c r="AB222">
        <v>64116</v>
      </c>
      <c r="AC222" t="s">
        <v>550</v>
      </c>
      <c r="AD222" s="48" t="s">
        <v>2213</v>
      </c>
      <c r="AE222" t="s">
        <v>523</v>
      </c>
      <c r="AF222" t="s">
        <v>1866</v>
      </c>
      <c r="AG222" t="s">
        <v>1866</v>
      </c>
      <c r="AI222" t="s">
        <v>620</v>
      </c>
    </row>
    <row r="223" spans="28:35">
      <c r="AB223">
        <v>64117</v>
      </c>
      <c r="AC223" t="s">
        <v>550</v>
      </c>
      <c r="AD223" s="48" t="s">
        <v>2213</v>
      </c>
      <c r="AE223" t="s">
        <v>523</v>
      </c>
      <c r="AF223" t="s">
        <v>1866</v>
      </c>
      <c r="AG223" t="s">
        <v>1866</v>
      </c>
      <c r="AI223" t="s">
        <v>374</v>
      </c>
    </row>
    <row r="224" spans="28:35">
      <c r="AB224">
        <v>64118</v>
      </c>
      <c r="AC224" t="s">
        <v>550</v>
      </c>
      <c r="AD224" s="48" t="s">
        <v>2213</v>
      </c>
      <c r="AE224" t="s">
        <v>523</v>
      </c>
      <c r="AF224" t="s">
        <v>1866</v>
      </c>
      <c r="AG224" t="s">
        <v>1866</v>
      </c>
      <c r="AI224" t="s">
        <v>533</v>
      </c>
    </row>
    <row r="225" spans="28:35">
      <c r="AB225">
        <v>64119</v>
      </c>
      <c r="AC225" t="s">
        <v>550</v>
      </c>
      <c r="AD225" s="48" t="s">
        <v>2213</v>
      </c>
      <c r="AE225" t="s">
        <v>523</v>
      </c>
      <c r="AF225" t="s">
        <v>1866</v>
      </c>
      <c r="AG225" t="s">
        <v>1866</v>
      </c>
      <c r="AI225" t="s">
        <v>413</v>
      </c>
    </row>
    <row r="226" spans="28:35">
      <c r="AB226">
        <v>64120</v>
      </c>
      <c r="AC226" t="s">
        <v>550</v>
      </c>
      <c r="AD226" s="48" t="s">
        <v>2213</v>
      </c>
      <c r="AE226" t="s">
        <v>653</v>
      </c>
      <c r="AF226" t="s">
        <v>302</v>
      </c>
      <c r="AG226" t="s">
        <v>1866</v>
      </c>
      <c r="AI226" t="s">
        <v>589</v>
      </c>
    </row>
    <row r="227" spans="28:35">
      <c r="AB227">
        <v>64121</v>
      </c>
      <c r="AC227" t="s">
        <v>550</v>
      </c>
      <c r="AD227" s="48" t="s">
        <v>2213</v>
      </c>
      <c r="AE227" t="s">
        <v>653</v>
      </c>
      <c r="AF227" t="s">
        <v>302</v>
      </c>
      <c r="AG227" t="s">
        <v>1866</v>
      </c>
      <c r="AI227" t="s">
        <v>580</v>
      </c>
    </row>
    <row r="228" spans="28:35">
      <c r="AB228">
        <v>64123</v>
      </c>
      <c r="AC228" t="s">
        <v>550</v>
      </c>
      <c r="AD228" s="48" t="s">
        <v>2213</v>
      </c>
      <c r="AE228" t="s">
        <v>653</v>
      </c>
      <c r="AF228" t="s">
        <v>302</v>
      </c>
      <c r="AG228" t="s">
        <v>1866</v>
      </c>
      <c r="AI228" t="s">
        <v>626</v>
      </c>
    </row>
    <row r="229" spans="28:35">
      <c r="AB229">
        <v>64124</v>
      </c>
      <c r="AC229" t="s">
        <v>550</v>
      </c>
      <c r="AD229" s="48" t="s">
        <v>2213</v>
      </c>
      <c r="AE229" t="s">
        <v>653</v>
      </c>
      <c r="AF229" t="s">
        <v>302</v>
      </c>
      <c r="AG229" t="s">
        <v>1866</v>
      </c>
      <c r="AI229" t="s">
        <v>627</v>
      </c>
    </row>
    <row r="230" spans="28:35">
      <c r="AB230">
        <v>64125</v>
      </c>
      <c r="AC230" t="s">
        <v>550</v>
      </c>
      <c r="AD230" s="48" t="s">
        <v>2213</v>
      </c>
      <c r="AE230" t="s">
        <v>653</v>
      </c>
      <c r="AF230" t="s">
        <v>302</v>
      </c>
      <c r="AG230" t="s">
        <v>1866</v>
      </c>
      <c r="AI230" t="s">
        <v>628</v>
      </c>
    </row>
    <row r="231" spans="28:35">
      <c r="AB231">
        <v>64126</v>
      </c>
      <c r="AC231" t="s">
        <v>550</v>
      </c>
      <c r="AD231" s="48" t="s">
        <v>2213</v>
      </c>
      <c r="AE231" t="s">
        <v>653</v>
      </c>
      <c r="AF231" t="s">
        <v>302</v>
      </c>
      <c r="AG231" t="s">
        <v>1866</v>
      </c>
      <c r="AI231" t="s">
        <v>629</v>
      </c>
    </row>
    <row r="232" spans="28:35">
      <c r="AB232">
        <v>64127</v>
      </c>
      <c r="AC232" t="s">
        <v>550</v>
      </c>
      <c r="AD232" s="48" t="s">
        <v>2213</v>
      </c>
      <c r="AE232" t="s">
        <v>653</v>
      </c>
      <c r="AF232" t="s">
        <v>302</v>
      </c>
      <c r="AG232" t="s">
        <v>1866</v>
      </c>
      <c r="AI232" t="s">
        <v>630</v>
      </c>
    </row>
    <row r="233" spans="28:35">
      <c r="AB233">
        <v>64128</v>
      </c>
      <c r="AC233" t="s">
        <v>550</v>
      </c>
      <c r="AD233" s="48" t="s">
        <v>2213</v>
      </c>
      <c r="AE233" t="s">
        <v>653</v>
      </c>
      <c r="AF233" t="s">
        <v>302</v>
      </c>
      <c r="AG233" t="s">
        <v>1866</v>
      </c>
      <c r="AI233" t="s">
        <v>631</v>
      </c>
    </row>
    <row r="234" spans="28:35">
      <c r="AB234">
        <v>64129</v>
      </c>
      <c r="AC234" t="s">
        <v>550</v>
      </c>
      <c r="AD234" s="48" t="s">
        <v>2213</v>
      </c>
      <c r="AE234" t="s">
        <v>653</v>
      </c>
      <c r="AF234" t="s">
        <v>302</v>
      </c>
      <c r="AG234" t="s">
        <v>1866</v>
      </c>
      <c r="AI234" t="s">
        <v>633</v>
      </c>
    </row>
    <row r="235" spans="28:35">
      <c r="AB235">
        <v>64130</v>
      </c>
      <c r="AC235" t="s">
        <v>550</v>
      </c>
      <c r="AD235" s="48" t="s">
        <v>2213</v>
      </c>
      <c r="AE235" t="s">
        <v>653</v>
      </c>
      <c r="AF235" t="s">
        <v>302</v>
      </c>
      <c r="AG235" t="s">
        <v>1866</v>
      </c>
      <c r="AI235" t="s">
        <v>635</v>
      </c>
    </row>
    <row r="236" spans="28:35">
      <c r="AB236">
        <v>64131</v>
      </c>
      <c r="AC236" t="s">
        <v>550</v>
      </c>
      <c r="AD236" s="48" t="s">
        <v>2213</v>
      </c>
      <c r="AE236" t="s">
        <v>653</v>
      </c>
      <c r="AF236" t="s">
        <v>302</v>
      </c>
      <c r="AG236" t="s">
        <v>1866</v>
      </c>
      <c r="AI236" t="s">
        <v>637</v>
      </c>
    </row>
    <row r="237" spans="28:35">
      <c r="AB237">
        <v>64132</v>
      </c>
      <c r="AC237" t="s">
        <v>550</v>
      </c>
      <c r="AD237" s="48" t="s">
        <v>2213</v>
      </c>
      <c r="AE237" t="s">
        <v>653</v>
      </c>
      <c r="AF237" t="s">
        <v>302</v>
      </c>
      <c r="AG237" t="s">
        <v>1866</v>
      </c>
      <c r="AI237" t="s">
        <v>621</v>
      </c>
    </row>
    <row r="238" spans="28:35">
      <c r="AB238">
        <v>64133</v>
      </c>
      <c r="AC238" t="s">
        <v>550</v>
      </c>
      <c r="AD238" s="48" t="s">
        <v>2213</v>
      </c>
      <c r="AE238" t="s">
        <v>653</v>
      </c>
      <c r="AF238" t="s">
        <v>302</v>
      </c>
      <c r="AG238" t="s">
        <v>1866</v>
      </c>
      <c r="AI238" t="s">
        <v>639</v>
      </c>
    </row>
    <row r="239" spans="28:35">
      <c r="AB239">
        <v>64134</v>
      </c>
      <c r="AC239" t="s">
        <v>550</v>
      </c>
      <c r="AD239" s="48" t="s">
        <v>2213</v>
      </c>
      <c r="AE239" t="s">
        <v>653</v>
      </c>
      <c r="AF239" t="s">
        <v>302</v>
      </c>
      <c r="AG239" t="s">
        <v>1866</v>
      </c>
      <c r="AI239" t="s">
        <v>593</v>
      </c>
    </row>
    <row r="240" spans="28:35">
      <c r="AB240">
        <v>64136</v>
      </c>
      <c r="AC240" t="s">
        <v>550</v>
      </c>
      <c r="AD240" s="48" t="s">
        <v>2213</v>
      </c>
      <c r="AE240" t="s">
        <v>653</v>
      </c>
      <c r="AF240" t="s">
        <v>302</v>
      </c>
      <c r="AG240" t="s">
        <v>1866</v>
      </c>
      <c r="AI240" t="s">
        <v>640</v>
      </c>
    </row>
    <row r="241" spans="28:35">
      <c r="AB241">
        <v>64137</v>
      </c>
      <c r="AC241" t="s">
        <v>550</v>
      </c>
      <c r="AD241" s="48" t="s">
        <v>2213</v>
      </c>
      <c r="AE241" t="s">
        <v>653</v>
      </c>
      <c r="AF241" t="s">
        <v>302</v>
      </c>
      <c r="AG241" t="s">
        <v>1866</v>
      </c>
      <c r="AI241" t="s">
        <v>606</v>
      </c>
    </row>
    <row r="242" spans="28:35">
      <c r="AB242">
        <v>64138</v>
      </c>
      <c r="AC242" t="s">
        <v>550</v>
      </c>
      <c r="AD242" s="48" t="s">
        <v>2213</v>
      </c>
      <c r="AE242" t="s">
        <v>653</v>
      </c>
      <c r="AF242" t="s">
        <v>302</v>
      </c>
      <c r="AG242" t="s">
        <v>1866</v>
      </c>
      <c r="AI242" t="s">
        <v>608</v>
      </c>
    </row>
    <row r="243" spans="28:35">
      <c r="AB243">
        <v>64139</v>
      </c>
      <c r="AC243" t="s">
        <v>550</v>
      </c>
      <c r="AD243" s="48" t="s">
        <v>2213</v>
      </c>
      <c r="AE243" t="s">
        <v>653</v>
      </c>
      <c r="AF243" t="s">
        <v>302</v>
      </c>
      <c r="AG243" t="s">
        <v>1866</v>
      </c>
      <c r="AI243" t="s">
        <v>508</v>
      </c>
    </row>
    <row r="244" spans="28:35">
      <c r="AB244">
        <v>64141</v>
      </c>
      <c r="AC244" t="s">
        <v>550</v>
      </c>
      <c r="AD244" s="48" t="s">
        <v>2213</v>
      </c>
      <c r="AE244" t="s">
        <v>653</v>
      </c>
      <c r="AF244" t="s">
        <v>302</v>
      </c>
      <c r="AG244" t="s">
        <v>1866</v>
      </c>
      <c r="AI244" t="s">
        <v>642</v>
      </c>
    </row>
    <row r="245" spans="28:35">
      <c r="AB245">
        <v>64142</v>
      </c>
      <c r="AC245" t="s">
        <v>550</v>
      </c>
      <c r="AD245" s="48" t="s">
        <v>2213</v>
      </c>
      <c r="AE245" t="s">
        <v>653</v>
      </c>
      <c r="AF245" t="s">
        <v>302</v>
      </c>
      <c r="AG245" t="s">
        <v>1866</v>
      </c>
      <c r="AI245" t="s">
        <v>643</v>
      </c>
    </row>
    <row r="246" spans="28:35">
      <c r="AB246">
        <v>64144</v>
      </c>
      <c r="AC246" t="s">
        <v>550</v>
      </c>
      <c r="AD246" s="48" t="s">
        <v>2213</v>
      </c>
      <c r="AE246" t="s">
        <v>523</v>
      </c>
      <c r="AF246" t="s">
        <v>1866</v>
      </c>
      <c r="AG246" t="s">
        <v>1866</v>
      </c>
      <c r="AI246" t="s">
        <v>645</v>
      </c>
    </row>
    <row r="247" spans="28:35">
      <c r="AB247">
        <v>64145</v>
      </c>
      <c r="AC247" t="s">
        <v>550</v>
      </c>
      <c r="AD247" s="48" t="s">
        <v>2213</v>
      </c>
      <c r="AE247" t="s">
        <v>653</v>
      </c>
      <c r="AF247" t="s">
        <v>302</v>
      </c>
      <c r="AG247" t="s">
        <v>1866</v>
      </c>
      <c r="AI247" t="s">
        <v>376</v>
      </c>
    </row>
    <row r="248" spans="28:35">
      <c r="AB248">
        <v>64146</v>
      </c>
      <c r="AC248" t="s">
        <v>550</v>
      </c>
      <c r="AD248" s="48" t="s">
        <v>2213</v>
      </c>
      <c r="AE248" t="s">
        <v>653</v>
      </c>
      <c r="AF248" t="s">
        <v>302</v>
      </c>
      <c r="AG248" t="s">
        <v>1866</v>
      </c>
      <c r="AI248" t="s">
        <v>646</v>
      </c>
    </row>
    <row r="249" spans="28:35">
      <c r="AB249">
        <v>64147</v>
      </c>
      <c r="AC249" t="s">
        <v>550</v>
      </c>
      <c r="AD249" s="48" t="s">
        <v>2213</v>
      </c>
      <c r="AE249" t="s">
        <v>653</v>
      </c>
      <c r="AF249" t="s">
        <v>302</v>
      </c>
      <c r="AG249" t="s">
        <v>1866</v>
      </c>
      <c r="AI249" t="s">
        <v>378</v>
      </c>
    </row>
    <row r="250" spans="28:35">
      <c r="AB250">
        <v>64148</v>
      </c>
      <c r="AC250" t="s">
        <v>550</v>
      </c>
      <c r="AD250" s="48" t="s">
        <v>2213</v>
      </c>
      <c r="AE250" t="s">
        <v>653</v>
      </c>
      <c r="AF250" t="s">
        <v>302</v>
      </c>
      <c r="AG250" t="s">
        <v>1866</v>
      </c>
      <c r="AI250" t="s">
        <v>535</v>
      </c>
    </row>
    <row r="251" spans="28:35">
      <c r="AB251">
        <v>64149</v>
      </c>
      <c r="AC251" t="s">
        <v>550</v>
      </c>
      <c r="AD251" s="48" t="s">
        <v>2213</v>
      </c>
      <c r="AE251" t="s">
        <v>653</v>
      </c>
      <c r="AF251" t="s">
        <v>302</v>
      </c>
      <c r="AG251" t="s">
        <v>1866</v>
      </c>
      <c r="AI251" t="s">
        <v>647</v>
      </c>
    </row>
    <row r="252" spans="28:35">
      <c r="AB252">
        <v>64150</v>
      </c>
      <c r="AC252" t="s">
        <v>550</v>
      </c>
      <c r="AD252" s="48" t="s">
        <v>2213</v>
      </c>
      <c r="AE252" t="s">
        <v>712</v>
      </c>
      <c r="AF252" t="s">
        <v>1152</v>
      </c>
      <c r="AG252" t="s">
        <v>1866</v>
      </c>
      <c r="AI252" t="s">
        <v>632</v>
      </c>
    </row>
    <row r="253" spans="28:35">
      <c r="AB253">
        <v>64151</v>
      </c>
      <c r="AC253" t="s">
        <v>550</v>
      </c>
      <c r="AD253" s="48" t="s">
        <v>2213</v>
      </c>
      <c r="AE253" t="s">
        <v>712</v>
      </c>
      <c r="AF253" t="s">
        <v>1152</v>
      </c>
      <c r="AG253" t="s">
        <v>1866</v>
      </c>
      <c r="AI253" t="s">
        <v>650</v>
      </c>
    </row>
    <row r="254" spans="28:35">
      <c r="AB254">
        <v>64152</v>
      </c>
      <c r="AC254" t="s">
        <v>550</v>
      </c>
      <c r="AD254" s="48" t="s">
        <v>2213</v>
      </c>
      <c r="AE254" t="s">
        <v>712</v>
      </c>
      <c r="AF254" t="s">
        <v>1152</v>
      </c>
      <c r="AG254" t="s">
        <v>1866</v>
      </c>
      <c r="AI254" t="s">
        <v>652</v>
      </c>
    </row>
    <row r="255" spans="28:35">
      <c r="AB255">
        <v>64153</v>
      </c>
      <c r="AC255" t="s">
        <v>550</v>
      </c>
      <c r="AD255" s="48" t="s">
        <v>2213</v>
      </c>
      <c r="AE255" t="s">
        <v>712</v>
      </c>
      <c r="AF255" t="s">
        <v>1152</v>
      </c>
      <c r="AG255" t="s">
        <v>1866</v>
      </c>
      <c r="AI255" t="s">
        <v>654</v>
      </c>
    </row>
    <row r="256" spans="28:35">
      <c r="AB256">
        <v>64154</v>
      </c>
      <c r="AC256" t="s">
        <v>550</v>
      </c>
      <c r="AD256" s="48" t="s">
        <v>2213</v>
      </c>
      <c r="AE256" t="s">
        <v>712</v>
      </c>
      <c r="AF256" t="s">
        <v>1152</v>
      </c>
      <c r="AG256" t="s">
        <v>1866</v>
      </c>
      <c r="AI256" t="s">
        <v>537</v>
      </c>
    </row>
    <row r="257" spans="28:35">
      <c r="AB257">
        <v>64155</v>
      </c>
      <c r="AC257" t="s">
        <v>550</v>
      </c>
      <c r="AD257" s="48" t="s">
        <v>2213</v>
      </c>
      <c r="AE257" t="s">
        <v>523</v>
      </c>
      <c r="AF257" t="s">
        <v>1866</v>
      </c>
      <c r="AG257" t="s">
        <v>1866</v>
      </c>
      <c r="AI257" t="s">
        <v>641</v>
      </c>
    </row>
    <row r="258" spans="28:35">
      <c r="AB258">
        <v>64156</v>
      </c>
      <c r="AC258" t="s">
        <v>550</v>
      </c>
      <c r="AD258" s="48" t="s">
        <v>2213</v>
      </c>
      <c r="AE258" t="s">
        <v>523</v>
      </c>
      <c r="AF258" t="s">
        <v>1866</v>
      </c>
      <c r="AG258" t="s">
        <v>1866</v>
      </c>
      <c r="AI258" t="s">
        <v>655</v>
      </c>
    </row>
    <row r="259" spans="28:35">
      <c r="AB259">
        <v>64157</v>
      </c>
      <c r="AC259" t="s">
        <v>550</v>
      </c>
      <c r="AD259" s="48" t="s">
        <v>2213</v>
      </c>
      <c r="AE259" t="s">
        <v>523</v>
      </c>
      <c r="AF259" t="s">
        <v>1866</v>
      </c>
      <c r="AG259" t="s">
        <v>1866</v>
      </c>
      <c r="AI259" t="s">
        <v>415</v>
      </c>
    </row>
    <row r="260" spans="28:35">
      <c r="AB260">
        <v>64158</v>
      </c>
      <c r="AC260" t="s">
        <v>550</v>
      </c>
      <c r="AD260" s="48" t="s">
        <v>2213</v>
      </c>
      <c r="AE260" t="s">
        <v>523</v>
      </c>
      <c r="AF260" t="s">
        <v>1866</v>
      </c>
      <c r="AG260" t="s">
        <v>1866</v>
      </c>
      <c r="AI260" t="s">
        <v>622</v>
      </c>
    </row>
    <row r="261" spans="28:35">
      <c r="AB261">
        <v>64160</v>
      </c>
      <c r="AC261" t="s">
        <v>550</v>
      </c>
      <c r="AD261" s="48" t="s">
        <v>2213</v>
      </c>
      <c r="AE261" t="s">
        <v>523</v>
      </c>
      <c r="AF261" t="s">
        <v>1866</v>
      </c>
      <c r="AG261" t="s">
        <v>1866</v>
      </c>
      <c r="AI261" t="s">
        <v>510</v>
      </c>
    </row>
    <row r="262" spans="28:35">
      <c r="AB262">
        <v>64161</v>
      </c>
      <c r="AC262" t="s">
        <v>550</v>
      </c>
      <c r="AD262" s="48" t="s">
        <v>2213</v>
      </c>
      <c r="AE262" t="s">
        <v>523</v>
      </c>
      <c r="AF262" t="s">
        <v>1866</v>
      </c>
      <c r="AG262" t="s">
        <v>1866</v>
      </c>
      <c r="AI262" t="s">
        <v>2154</v>
      </c>
    </row>
    <row r="263" spans="28:35">
      <c r="AB263">
        <v>64163</v>
      </c>
      <c r="AC263" t="s">
        <v>550</v>
      </c>
      <c r="AD263" s="48" t="s">
        <v>2213</v>
      </c>
      <c r="AE263" t="s">
        <v>712</v>
      </c>
      <c r="AF263" t="s">
        <v>1152</v>
      </c>
      <c r="AG263" t="s">
        <v>1866</v>
      </c>
      <c r="AI263" t="s">
        <v>656</v>
      </c>
    </row>
    <row r="264" spans="28:35">
      <c r="AB264">
        <v>64164</v>
      </c>
      <c r="AC264" t="s">
        <v>550</v>
      </c>
      <c r="AD264" s="48" t="s">
        <v>2213</v>
      </c>
      <c r="AE264" t="s">
        <v>712</v>
      </c>
      <c r="AF264" t="s">
        <v>1152</v>
      </c>
      <c r="AG264" t="s">
        <v>1866</v>
      </c>
      <c r="AI264" t="s">
        <v>657</v>
      </c>
    </row>
    <row r="265" spans="28:35">
      <c r="AB265">
        <v>64165</v>
      </c>
      <c r="AC265" t="s">
        <v>550</v>
      </c>
      <c r="AD265" s="48" t="s">
        <v>2213</v>
      </c>
      <c r="AE265" t="s">
        <v>523</v>
      </c>
      <c r="AF265" t="s">
        <v>1866</v>
      </c>
      <c r="AG265" t="s">
        <v>1866</v>
      </c>
      <c r="AI265" t="s">
        <v>658</v>
      </c>
    </row>
    <row r="266" spans="28:35">
      <c r="AB266">
        <v>64166</v>
      </c>
      <c r="AC266" t="s">
        <v>550</v>
      </c>
      <c r="AD266" s="48" t="s">
        <v>2213</v>
      </c>
      <c r="AE266" t="s">
        <v>523</v>
      </c>
      <c r="AF266" t="s">
        <v>1866</v>
      </c>
      <c r="AG266" t="s">
        <v>1866</v>
      </c>
      <c r="AI266" t="s">
        <v>70</v>
      </c>
    </row>
    <row r="267" spans="28:35">
      <c r="AB267">
        <v>64167</v>
      </c>
      <c r="AC267" t="s">
        <v>550</v>
      </c>
      <c r="AD267" s="48" t="s">
        <v>2213</v>
      </c>
      <c r="AE267" t="s">
        <v>523</v>
      </c>
      <c r="AF267" t="s">
        <v>1866</v>
      </c>
      <c r="AG267" t="s">
        <v>1866</v>
      </c>
      <c r="AI267" t="s">
        <v>648</v>
      </c>
    </row>
    <row r="268" spans="28:35">
      <c r="AB268">
        <v>64168</v>
      </c>
      <c r="AC268" t="s">
        <v>550</v>
      </c>
      <c r="AD268" s="48" t="s">
        <v>2213</v>
      </c>
      <c r="AE268" t="s">
        <v>712</v>
      </c>
      <c r="AF268" t="s">
        <v>1152</v>
      </c>
      <c r="AG268" t="s">
        <v>1866</v>
      </c>
      <c r="AI268" t="s">
        <v>623</v>
      </c>
    </row>
    <row r="269" spans="28:35">
      <c r="AB269">
        <v>64170</v>
      </c>
      <c r="AC269" t="s">
        <v>550</v>
      </c>
      <c r="AD269" s="48" t="s">
        <v>2213</v>
      </c>
      <c r="AE269" t="s">
        <v>653</v>
      </c>
      <c r="AF269" t="s">
        <v>302</v>
      </c>
      <c r="AG269" t="s">
        <v>1866</v>
      </c>
      <c r="AI269" t="s">
        <v>461</v>
      </c>
    </row>
    <row r="270" spans="28:35">
      <c r="AB270">
        <v>64171</v>
      </c>
      <c r="AC270" t="s">
        <v>550</v>
      </c>
      <c r="AD270" s="48" t="s">
        <v>2213</v>
      </c>
      <c r="AE270" t="s">
        <v>653</v>
      </c>
      <c r="AF270" t="s">
        <v>302</v>
      </c>
      <c r="AG270" t="s">
        <v>1866</v>
      </c>
      <c r="AI270" t="s">
        <v>307</v>
      </c>
    </row>
    <row r="271" spans="28:35">
      <c r="AB271">
        <v>64172</v>
      </c>
      <c r="AC271" t="s">
        <v>550</v>
      </c>
      <c r="AD271" s="48" t="s">
        <v>2213</v>
      </c>
      <c r="AE271" t="s">
        <v>653</v>
      </c>
      <c r="AF271" t="s">
        <v>302</v>
      </c>
      <c r="AG271" t="s">
        <v>1866</v>
      </c>
      <c r="AI271" t="s">
        <v>2155</v>
      </c>
    </row>
    <row r="272" spans="28:35">
      <c r="AB272">
        <v>64173</v>
      </c>
      <c r="AC272" t="s">
        <v>550</v>
      </c>
      <c r="AD272" s="48" t="s">
        <v>2213</v>
      </c>
      <c r="AE272" t="s">
        <v>653</v>
      </c>
      <c r="AF272" t="s">
        <v>302</v>
      </c>
      <c r="AG272" t="s">
        <v>1866</v>
      </c>
      <c r="AI272" t="s">
        <v>659</v>
      </c>
    </row>
    <row r="273" spans="28:35">
      <c r="AB273">
        <v>64179</v>
      </c>
      <c r="AC273" t="s">
        <v>550</v>
      </c>
      <c r="AD273" s="48" t="s">
        <v>2213</v>
      </c>
      <c r="AE273" t="s">
        <v>653</v>
      </c>
      <c r="AF273" t="s">
        <v>302</v>
      </c>
      <c r="AG273" t="s">
        <v>1866</v>
      </c>
      <c r="AI273" t="s">
        <v>2156</v>
      </c>
    </row>
    <row r="274" spans="28:35">
      <c r="AB274">
        <v>64180</v>
      </c>
      <c r="AC274" t="s">
        <v>550</v>
      </c>
      <c r="AD274" s="48" t="s">
        <v>2213</v>
      </c>
      <c r="AE274" t="s">
        <v>653</v>
      </c>
      <c r="AF274" t="s">
        <v>302</v>
      </c>
      <c r="AG274" t="s">
        <v>1866</v>
      </c>
      <c r="AI274" t="s">
        <v>538</v>
      </c>
    </row>
    <row r="275" spans="28:35">
      <c r="AB275">
        <v>64183</v>
      </c>
      <c r="AC275" t="s">
        <v>550</v>
      </c>
      <c r="AD275" s="48" t="s">
        <v>2213</v>
      </c>
      <c r="AE275" t="s">
        <v>653</v>
      </c>
      <c r="AF275" t="s">
        <v>302</v>
      </c>
      <c r="AG275" t="s">
        <v>1866</v>
      </c>
      <c r="AI275" t="s">
        <v>2157</v>
      </c>
    </row>
    <row r="276" spans="28:35">
      <c r="AB276">
        <v>64184</v>
      </c>
      <c r="AC276" t="s">
        <v>550</v>
      </c>
      <c r="AD276" s="48" t="s">
        <v>2213</v>
      </c>
      <c r="AE276" t="s">
        <v>653</v>
      </c>
      <c r="AF276" t="s">
        <v>302</v>
      </c>
      <c r="AG276" t="s">
        <v>1866</v>
      </c>
      <c r="AI276" t="s">
        <v>660</v>
      </c>
    </row>
    <row r="277" spans="28:35">
      <c r="AB277">
        <v>64185</v>
      </c>
      <c r="AC277" t="s">
        <v>550</v>
      </c>
      <c r="AD277" s="48" t="s">
        <v>2213</v>
      </c>
      <c r="AE277" t="s">
        <v>653</v>
      </c>
      <c r="AF277" t="s">
        <v>302</v>
      </c>
      <c r="AG277" t="s">
        <v>1866</v>
      </c>
      <c r="AI277" t="s">
        <v>417</v>
      </c>
    </row>
    <row r="278" spans="28:35">
      <c r="AB278">
        <v>64187</v>
      </c>
      <c r="AC278" t="s">
        <v>550</v>
      </c>
      <c r="AD278" s="48" t="s">
        <v>2213</v>
      </c>
      <c r="AE278" t="s">
        <v>653</v>
      </c>
      <c r="AF278" t="s">
        <v>302</v>
      </c>
      <c r="AG278" t="s">
        <v>1866</v>
      </c>
      <c r="AI278" t="s">
        <v>106</v>
      </c>
    </row>
    <row r="279" spans="28:35">
      <c r="AB279">
        <v>64188</v>
      </c>
      <c r="AC279" t="s">
        <v>550</v>
      </c>
      <c r="AD279" s="48" t="s">
        <v>2213</v>
      </c>
      <c r="AE279" t="s">
        <v>523</v>
      </c>
      <c r="AF279" t="s">
        <v>1866</v>
      </c>
      <c r="AG279" t="s">
        <v>1866</v>
      </c>
      <c r="AI279" t="s">
        <v>661</v>
      </c>
    </row>
    <row r="280" spans="28:35">
      <c r="AB280">
        <v>64189</v>
      </c>
      <c r="AC280" t="s">
        <v>550</v>
      </c>
      <c r="AD280" s="48" t="s">
        <v>2213</v>
      </c>
      <c r="AE280" t="s">
        <v>653</v>
      </c>
      <c r="AF280" t="s">
        <v>302</v>
      </c>
      <c r="AG280" t="s">
        <v>1866</v>
      </c>
      <c r="AI280" t="s">
        <v>595</v>
      </c>
    </row>
    <row r="281" spans="28:35">
      <c r="AB281">
        <v>64190</v>
      </c>
      <c r="AC281" t="s">
        <v>550</v>
      </c>
      <c r="AD281" s="48" t="s">
        <v>2213</v>
      </c>
      <c r="AE281" t="s">
        <v>712</v>
      </c>
      <c r="AF281" t="s">
        <v>1152</v>
      </c>
      <c r="AG281" t="s">
        <v>1866</v>
      </c>
      <c r="AI281" t="s">
        <v>662</v>
      </c>
    </row>
    <row r="282" spans="28:35">
      <c r="AB282">
        <v>64191</v>
      </c>
      <c r="AC282" t="s">
        <v>550</v>
      </c>
      <c r="AD282" s="48" t="s">
        <v>2213</v>
      </c>
      <c r="AE282" t="s">
        <v>653</v>
      </c>
      <c r="AF282" t="s">
        <v>302</v>
      </c>
      <c r="AG282" t="s">
        <v>1866</v>
      </c>
      <c r="AI282" t="s">
        <v>419</v>
      </c>
    </row>
    <row r="283" spans="28:35">
      <c r="AB283">
        <v>64192</v>
      </c>
      <c r="AC283" t="s">
        <v>550</v>
      </c>
      <c r="AD283" s="48" t="s">
        <v>2213</v>
      </c>
      <c r="AE283" t="s">
        <v>653</v>
      </c>
      <c r="AF283" t="s">
        <v>302</v>
      </c>
      <c r="AG283" t="s">
        <v>1866</v>
      </c>
      <c r="AI283" t="s">
        <v>539</v>
      </c>
    </row>
    <row r="284" spans="28:35">
      <c r="AB284">
        <v>64193</v>
      </c>
      <c r="AC284" t="s">
        <v>550</v>
      </c>
      <c r="AD284" s="48" t="s">
        <v>2213</v>
      </c>
      <c r="AE284" t="s">
        <v>653</v>
      </c>
      <c r="AF284" t="s">
        <v>302</v>
      </c>
      <c r="AG284" t="s">
        <v>1866</v>
      </c>
      <c r="AI284" t="s">
        <v>663</v>
      </c>
    </row>
    <row r="285" spans="28:35">
      <c r="AB285">
        <v>64194</v>
      </c>
      <c r="AC285" t="s">
        <v>550</v>
      </c>
      <c r="AD285" s="48" t="s">
        <v>2213</v>
      </c>
      <c r="AE285" t="s">
        <v>653</v>
      </c>
      <c r="AF285" t="s">
        <v>302</v>
      </c>
      <c r="AG285" t="s">
        <v>1866</v>
      </c>
      <c r="AI285" t="s">
        <v>664</v>
      </c>
    </row>
    <row r="286" spans="28:35">
      <c r="AB286">
        <v>64195</v>
      </c>
      <c r="AC286" t="s">
        <v>550</v>
      </c>
      <c r="AD286" s="48" t="s">
        <v>2213</v>
      </c>
      <c r="AE286" t="s">
        <v>712</v>
      </c>
      <c r="AF286" t="s">
        <v>1152</v>
      </c>
      <c r="AG286" t="s">
        <v>1866</v>
      </c>
      <c r="AI286" t="s">
        <v>391</v>
      </c>
    </row>
    <row r="287" spans="28:35">
      <c r="AB287">
        <v>64196</v>
      </c>
      <c r="AC287" t="s">
        <v>550</v>
      </c>
      <c r="AD287" s="48" t="s">
        <v>2213</v>
      </c>
      <c r="AE287" t="s">
        <v>653</v>
      </c>
      <c r="AF287" t="s">
        <v>302</v>
      </c>
      <c r="AG287" t="s">
        <v>1866</v>
      </c>
      <c r="AI287" t="s">
        <v>590</v>
      </c>
    </row>
    <row r="288" spans="28:35">
      <c r="AB288">
        <v>64197</v>
      </c>
      <c r="AC288" t="s">
        <v>550</v>
      </c>
      <c r="AD288" s="48" t="s">
        <v>2213</v>
      </c>
      <c r="AE288" t="s">
        <v>653</v>
      </c>
      <c r="AF288" t="s">
        <v>302</v>
      </c>
      <c r="AG288" t="s">
        <v>1866</v>
      </c>
      <c r="AI288" t="s">
        <v>484</v>
      </c>
    </row>
    <row r="289" spans="28:35">
      <c r="AB289">
        <v>64198</v>
      </c>
      <c r="AC289" t="s">
        <v>550</v>
      </c>
      <c r="AD289" s="48" t="s">
        <v>2213</v>
      </c>
      <c r="AE289" t="s">
        <v>653</v>
      </c>
      <c r="AF289" t="s">
        <v>302</v>
      </c>
      <c r="AG289" t="s">
        <v>1866</v>
      </c>
      <c r="AI289" t="s">
        <v>649</v>
      </c>
    </row>
    <row r="290" spans="28:35">
      <c r="AB290">
        <v>64199</v>
      </c>
      <c r="AC290" t="s">
        <v>550</v>
      </c>
      <c r="AD290" s="48" t="s">
        <v>2213</v>
      </c>
      <c r="AE290" t="s">
        <v>653</v>
      </c>
      <c r="AF290" t="s">
        <v>302</v>
      </c>
      <c r="AG290" t="s">
        <v>1866</v>
      </c>
      <c r="AI290" t="s">
        <v>667</v>
      </c>
    </row>
    <row r="291" spans="28:35">
      <c r="AB291">
        <v>64944</v>
      </c>
      <c r="AC291" t="s">
        <v>550</v>
      </c>
      <c r="AD291" s="48" t="s">
        <v>2213</v>
      </c>
      <c r="AE291" t="s">
        <v>653</v>
      </c>
      <c r="AF291" t="s">
        <v>302</v>
      </c>
      <c r="AG291" t="s">
        <v>1866</v>
      </c>
      <c r="AI291" t="s">
        <v>668</v>
      </c>
    </row>
    <row r="292" spans="28:35">
      <c r="AB292">
        <v>64999</v>
      </c>
      <c r="AC292" t="s">
        <v>550</v>
      </c>
      <c r="AD292" s="48" t="s">
        <v>2213</v>
      </c>
      <c r="AE292" t="s">
        <v>653</v>
      </c>
      <c r="AF292" t="s">
        <v>302</v>
      </c>
      <c r="AG292" t="s">
        <v>1866</v>
      </c>
      <c r="AI292" t="s">
        <v>670</v>
      </c>
    </row>
    <row r="293" spans="28:35">
      <c r="AB293">
        <v>64060</v>
      </c>
      <c r="AC293" t="s">
        <v>531</v>
      </c>
      <c r="AD293" t="s">
        <v>1866</v>
      </c>
      <c r="AE293" t="s">
        <v>523</v>
      </c>
      <c r="AF293" t="s">
        <v>1866</v>
      </c>
      <c r="AG293" t="s">
        <v>336</v>
      </c>
      <c r="AI293" t="s">
        <v>571</v>
      </c>
    </row>
    <row r="294" spans="28:35">
      <c r="AB294">
        <v>65261</v>
      </c>
      <c r="AC294" t="s">
        <v>506</v>
      </c>
      <c r="AD294" t="s">
        <v>1866</v>
      </c>
      <c r="AE294" t="s">
        <v>501</v>
      </c>
      <c r="AF294" t="s">
        <v>1866</v>
      </c>
      <c r="AG294" t="s">
        <v>336</v>
      </c>
      <c r="AI294" t="s">
        <v>486</v>
      </c>
    </row>
    <row r="295" spans="28:35">
      <c r="AB295">
        <v>64463</v>
      </c>
      <c r="AC295" t="s">
        <v>594</v>
      </c>
      <c r="AD295" t="s">
        <v>1866</v>
      </c>
      <c r="AE295" t="s">
        <v>543</v>
      </c>
      <c r="AF295" t="s">
        <v>1866</v>
      </c>
      <c r="AG295" t="s">
        <v>336</v>
      </c>
      <c r="AI295" t="s">
        <v>541</v>
      </c>
    </row>
    <row r="296" spans="28:35">
      <c r="AB296">
        <v>64061</v>
      </c>
      <c r="AC296" t="s">
        <v>596</v>
      </c>
      <c r="AD296" t="s">
        <v>1866</v>
      </c>
      <c r="AE296" t="s">
        <v>692</v>
      </c>
      <c r="AF296" t="s">
        <v>1866</v>
      </c>
      <c r="AG296" t="s">
        <v>336</v>
      </c>
      <c r="AI296" t="s">
        <v>393</v>
      </c>
    </row>
    <row r="297" spans="28:35">
      <c r="AB297">
        <v>65305</v>
      </c>
      <c r="AC297" t="s">
        <v>598</v>
      </c>
      <c r="AD297" t="s">
        <v>305</v>
      </c>
      <c r="AE297" t="s">
        <v>692</v>
      </c>
      <c r="AF297" t="s">
        <v>1866</v>
      </c>
      <c r="AG297" t="s">
        <v>1866</v>
      </c>
      <c r="AI297" t="s">
        <v>512</v>
      </c>
    </row>
    <row r="298" spans="28:35">
      <c r="AB298">
        <v>65336</v>
      </c>
      <c r="AC298" t="s">
        <v>598</v>
      </c>
      <c r="AD298" t="s">
        <v>305</v>
      </c>
      <c r="AE298" t="s">
        <v>692</v>
      </c>
      <c r="AF298" t="s">
        <v>1866</v>
      </c>
      <c r="AG298" t="s">
        <v>1866</v>
      </c>
      <c r="AI298" t="s">
        <v>2160</v>
      </c>
    </row>
    <row r="299" spans="28:35">
      <c r="AB299">
        <v>65337</v>
      </c>
      <c r="AC299" t="s">
        <v>600</v>
      </c>
      <c r="AD299" t="s">
        <v>1866</v>
      </c>
      <c r="AE299" t="s">
        <v>711</v>
      </c>
      <c r="AF299" t="s">
        <v>1866</v>
      </c>
      <c r="AG299" t="s">
        <v>336</v>
      </c>
      <c r="AI299" t="s">
        <v>671</v>
      </c>
    </row>
    <row r="300" spans="28:35">
      <c r="AB300">
        <v>64746</v>
      </c>
      <c r="AC300" t="s">
        <v>482</v>
      </c>
      <c r="AD300" t="s">
        <v>1866</v>
      </c>
      <c r="AE300" t="s">
        <v>468</v>
      </c>
      <c r="AF300" t="s">
        <v>1866</v>
      </c>
      <c r="AG300" t="s">
        <v>336</v>
      </c>
      <c r="AI300" t="s">
        <v>672</v>
      </c>
    </row>
    <row r="301" spans="28:35">
      <c r="AB301">
        <v>64076</v>
      </c>
      <c r="AC301" t="s">
        <v>602</v>
      </c>
      <c r="AD301" t="s">
        <v>1866</v>
      </c>
      <c r="AE301" t="s">
        <v>698</v>
      </c>
      <c r="AF301" t="s">
        <v>1866</v>
      </c>
      <c r="AG301" t="s">
        <v>336</v>
      </c>
      <c r="AI301" t="s">
        <v>421</v>
      </c>
    </row>
    <row r="302" spans="28:35">
      <c r="AB302">
        <v>64063</v>
      </c>
      <c r="AC302" t="s">
        <v>603</v>
      </c>
      <c r="AD302" t="s">
        <v>1866</v>
      </c>
      <c r="AE302" t="s">
        <v>653</v>
      </c>
      <c r="AF302" t="s">
        <v>302</v>
      </c>
      <c r="AG302" t="s">
        <v>336</v>
      </c>
      <c r="AI302" t="s">
        <v>542</v>
      </c>
    </row>
    <row r="303" spans="28:35">
      <c r="AB303">
        <v>64086</v>
      </c>
      <c r="AC303" t="s">
        <v>603</v>
      </c>
      <c r="AD303" t="s">
        <v>1866</v>
      </c>
      <c r="AE303" t="s">
        <v>653</v>
      </c>
      <c r="AF303" t="s">
        <v>302</v>
      </c>
      <c r="AG303" t="s">
        <v>336</v>
      </c>
      <c r="AI303" t="s">
        <v>673</v>
      </c>
    </row>
    <row r="304" spans="28:35">
      <c r="AB304">
        <v>64015</v>
      </c>
      <c r="AC304" t="s">
        <v>604</v>
      </c>
      <c r="AD304" t="s">
        <v>2163</v>
      </c>
      <c r="AE304" t="s">
        <v>653</v>
      </c>
      <c r="AF304" t="s">
        <v>302</v>
      </c>
      <c r="AG304" t="s">
        <v>1866</v>
      </c>
      <c r="AI304" t="s">
        <v>488</v>
      </c>
    </row>
    <row r="305" spans="28:35">
      <c r="AB305">
        <v>64640</v>
      </c>
      <c r="AC305" t="s">
        <v>587</v>
      </c>
      <c r="AD305" t="s">
        <v>1866</v>
      </c>
      <c r="AE305" t="s">
        <v>583</v>
      </c>
      <c r="AF305" t="s">
        <v>1866</v>
      </c>
      <c r="AG305" t="s">
        <v>336</v>
      </c>
      <c r="AI305" t="s">
        <v>309</v>
      </c>
    </row>
    <row r="306" spans="28:35">
      <c r="AB306">
        <v>64151</v>
      </c>
      <c r="AC306" t="s">
        <v>605</v>
      </c>
      <c r="AD306" t="s">
        <v>1866</v>
      </c>
      <c r="AE306" t="s">
        <v>712</v>
      </c>
      <c r="AF306" t="s">
        <v>1152</v>
      </c>
      <c r="AG306" t="s">
        <v>1866</v>
      </c>
      <c r="AI306" t="s">
        <v>674</v>
      </c>
    </row>
    <row r="307" spans="28:35">
      <c r="AB307">
        <v>64034</v>
      </c>
      <c r="AC307" t="s">
        <v>607</v>
      </c>
      <c r="AD307" t="s">
        <v>1866</v>
      </c>
      <c r="AE307" t="s">
        <v>653</v>
      </c>
      <c r="AF307" t="s">
        <v>302</v>
      </c>
      <c r="AG307" t="s">
        <v>336</v>
      </c>
      <c r="AI307" t="s">
        <v>346</v>
      </c>
    </row>
    <row r="308" spans="28:35">
      <c r="AB308">
        <v>65338</v>
      </c>
      <c r="AC308" t="s">
        <v>412</v>
      </c>
      <c r="AD308" t="s">
        <v>1866</v>
      </c>
      <c r="AE308" t="s">
        <v>403</v>
      </c>
      <c r="AF308" t="s">
        <v>1866</v>
      </c>
      <c r="AG308" t="s">
        <v>336</v>
      </c>
      <c r="AI308" t="s">
        <v>675</v>
      </c>
    </row>
    <row r="309" spans="28:35">
      <c r="AB309">
        <v>64759</v>
      </c>
      <c r="AC309" t="s">
        <v>372</v>
      </c>
      <c r="AD309" t="s">
        <v>1866</v>
      </c>
      <c r="AE309" t="s">
        <v>365</v>
      </c>
      <c r="AF309" t="s">
        <v>1866</v>
      </c>
      <c r="AG309" t="s">
        <v>336</v>
      </c>
      <c r="AI309" t="s">
        <v>395</v>
      </c>
    </row>
    <row r="310" spans="28:35">
      <c r="AB310">
        <v>64759</v>
      </c>
      <c r="AC310" t="s">
        <v>2152</v>
      </c>
      <c r="AD310" t="s">
        <v>1866</v>
      </c>
      <c r="AE310" t="s">
        <v>365</v>
      </c>
      <c r="AF310" t="s">
        <v>1866</v>
      </c>
      <c r="AG310" t="s">
        <v>336</v>
      </c>
      <c r="AI310" t="s">
        <v>676</v>
      </c>
    </row>
    <row r="311" spans="28:35">
      <c r="AB311">
        <v>64446</v>
      </c>
      <c r="AC311" t="s">
        <v>354</v>
      </c>
      <c r="AD311" t="s">
        <v>1866</v>
      </c>
      <c r="AE311" t="s">
        <v>352</v>
      </c>
      <c r="AF311" t="s">
        <v>1866</v>
      </c>
      <c r="AG311" t="s">
        <v>336</v>
      </c>
      <c r="AI311" t="s">
        <v>677</v>
      </c>
    </row>
    <row r="312" spans="28:35">
      <c r="AB312">
        <v>64652</v>
      </c>
      <c r="AC312" t="s">
        <v>610</v>
      </c>
      <c r="AD312" t="s">
        <v>1866</v>
      </c>
      <c r="AE312" t="s">
        <v>611</v>
      </c>
      <c r="AF312" t="s">
        <v>1866</v>
      </c>
      <c r="AG312" t="s">
        <v>336</v>
      </c>
      <c r="AI312" t="s">
        <v>624</v>
      </c>
    </row>
    <row r="313" spans="28:35">
      <c r="AB313">
        <v>64465</v>
      </c>
      <c r="AC313" t="s">
        <v>569</v>
      </c>
      <c r="AD313" t="s">
        <v>303</v>
      </c>
      <c r="AE313" t="s">
        <v>448</v>
      </c>
      <c r="AF313" t="s">
        <v>1866</v>
      </c>
      <c r="AG313" t="s">
        <v>1866</v>
      </c>
      <c r="AI313" t="s">
        <v>2158</v>
      </c>
    </row>
    <row r="314" spans="28:35">
      <c r="AB314">
        <v>64747</v>
      </c>
      <c r="AC314" t="s">
        <v>483</v>
      </c>
      <c r="AD314" t="s">
        <v>1866</v>
      </c>
      <c r="AE314" t="s">
        <v>468</v>
      </c>
      <c r="AF314" t="s">
        <v>1866</v>
      </c>
      <c r="AG314" t="s">
        <v>336</v>
      </c>
      <c r="AI314" t="s">
        <v>310</v>
      </c>
    </row>
    <row r="315" spans="28:35">
      <c r="AB315">
        <v>64062</v>
      </c>
      <c r="AC315" t="s">
        <v>615</v>
      </c>
      <c r="AD315" t="s">
        <v>1866</v>
      </c>
      <c r="AE315" t="s">
        <v>713</v>
      </c>
      <c r="AF315" t="s">
        <v>1866</v>
      </c>
      <c r="AG315" t="s">
        <v>336</v>
      </c>
      <c r="AI315" t="s">
        <v>651</v>
      </c>
    </row>
    <row r="316" spans="28:35">
      <c r="AB316">
        <v>64063</v>
      </c>
      <c r="AC316" t="s">
        <v>616</v>
      </c>
      <c r="AD316" t="s">
        <v>1866</v>
      </c>
      <c r="AE316" t="s">
        <v>653</v>
      </c>
      <c r="AF316" t="s">
        <v>302</v>
      </c>
      <c r="AG316" t="s">
        <v>336</v>
      </c>
      <c r="AI316" t="s">
        <v>2159</v>
      </c>
    </row>
    <row r="317" spans="28:35">
      <c r="AB317">
        <v>64064</v>
      </c>
      <c r="AC317" t="s">
        <v>616</v>
      </c>
      <c r="AD317" t="s">
        <v>1866</v>
      </c>
      <c r="AE317" t="s">
        <v>653</v>
      </c>
      <c r="AF317" t="s">
        <v>302</v>
      </c>
      <c r="AG317" t="s">
        <v>336</v>
      </c>
      <c r="AI317" t="s">
        <v>356</v>
      </c>
    </row>
    <row r="318" spans="28:35">
      <c r="AB318">
        <v>64065</v>
      </c>
      <c r="AC318" t="s">
        <v>616</v>
      </c>
      <c r="AD318" t="s">
        <v>1866</v>
      </c>
      <c r="AE318" t="s">
        <v>653</v>
      </c>
      <c r="AF318" t="s">
        <v>302</v>
      </c>
      <c r="AG318" t="s">
        <v>336</v>
      </c>
      <c r="AI318" t="s">
        <v>397</v>
      </c>
    </row>
    <row r="319" spans="28:35">
      <c r="AB319">
        <v>64081</v>
      </c>
      <c r="AC319" t="s">
        <v>616</v>
      </c>
      <c r="AD319" t="s">
        <v>1866</v>
      </c>
      <c r="AE319" t="s">
        <v>653</v>
      </c>
      <c r="AF319" t="s">
        <v>302</v>
      </c>
      <c r="AG319" t="s">
        <v>336</v>
      </c>
      <c r="AI319" t="s">
        <v>678</v>
      </c>
    </row>
    <row r="320" spans="28:35">
      <c r="AB320">
        <v>64082</v>
      </c>
      <c r="AC320" t="s">
        <v>616</v>
      </c>
      <c r="AD320" t="s">
        <v>1866</v>
      </c>
      <c r="AE320" t="s">
        <v>653</v>
      </c>
      <c r="AF320" t="s">
        <v>302</v>
      </c>
      <c r="AG320" t="s">
        <v>336</v>
      </c>
      <c r="AI320" t="s">
        <v>348</v>
      </c>
    </row>
    <row r="321" spans="28:35">
      <c r="AB321">
        <v>64086</v>
      </c>
      <c r="AC321" t="s">
        <v>616</v>
      </c>
      <c r="AD321" t="s">
        <v>1866</v>
      </c>
      <c r="AE321" t="s">
        <v>653</v>
      </c>
      <c r="AF321" t="s">
        <v>302</v>
      </c>
      <c r="AG321" t="s">
        <v>336</v>
      </c>
      <c r="AI321" t="s">
        <v>514</v>
      </c>
    </row>
    <row r="322" spans="28:35">
      <c r="AB322">
        <v>64761</v>
      </c>
      <c r="AC322" t="s">
        <v>617</v>
      </c>
      <c r="AD322" t="s">
        <v>1866</v>
      </c>
      <c r="AE322" t="s">
        <v>692</v>
      </c>
      <c r="AF322" t="s">
        <v>1866</v>
      </c>
      <c r="AG322" t="s">
        <v>336</v>
      </c>
      <c r="AI322" t="s">
        <v>679</v>
      </c>
    </row>
    <row r="323" spans="28:35">
      <c r="AB323">
        <v>64066</v>
      </c>
      <c r="AC323" t="s">
        <v>618</v>
      </c>
      <c r="AD323" t="s">
        <v>1866</v>
      </c>
      <c r="AE323" t="s">
        <v>653</v>
      </c>
      <c r="AF323" t="s">
        <v>302</v>
      </c>
      <c r="AG323" t="s">
        <v>336</v>
      </c>
      <c r="AI323" t="s">
        <v>439</v>
      </c>
    </row>
    <row r="324" spans="28:35">
      <c r="AB324">
        <v>64484</v>
      </c>
      <c r="AC324" t="s">
        <v>2153</v>
      </c>
      <c r="AD324" t="s">
        <v>1866</v>
      </c>
      <c r="AE324" t="s">
        <v>431</v>
      </c>
      <c r="AF324" t="s">
        <v>1866</v>
      </c>
      <c r="AG324" t="s">
        <v>336</v>
      </c>
      <c r="AI324" t="s">
        <v>423</v>
      </c>
    </row>
    <row r="325" spans="28:35">
      <c r="AB325">
        <v>65323</v>
      </c>
      <c r="AC325" t="s">
        <v>619</v>
      </c>
      <c r="AD325" t="s">
        <v>1866</v>
      </c>
      <c r="AE325" t="s">
        <v>625</v>
      </c>
      <c r="AF325" t="s">
        <v>1866</v>
      </c>
      <c r="AG325" t="s">
        <v>336</v>
      </c>
      <c r="AI325" t="s">
        <v>441</v>
      </c>
    </row>
    <row r="326" spans="28:35">
      <c r="AB326">
        <v>64067</v>
      </c>
      <c r="AC326" t="s">
        <v>620</v>
      </c>
      <c r="AD326" t="s">
        <v>1152</v>
      </c>
      <c r="AE326" t="s">
        <v>698</v>
      </c>
      <c r="AF326" t="s">
        <v>1866</v>
      </c>
      <c r="AG326" t="s">
        <v>1866</v>
      </c>
      <c r="AI326" t="s">
        <v>680</v>
      </c>
    </row>
    <row r="327" spans="28:35">
      <c r="AB327">
        <v>64762</v>
      </c>
      <c r="AC327" t="s">
        <v>374</v>
      </c>
      <c r="AD327" t="s">
        <v>1866</v>
      </c>
      <c r="AE327" t="s">
        <v>365</v>
      </c>
      <c r="AF327" t="s">
        <v>1866</v>
      </c>
      <c r="AG327" t="s">
        <v>336</v>
      </c>
      <c r="AI327" t="s">
        <v>516</v>
      </c>
    </row>
    <row r="328" spans="28:35">
      <c r="AB328">
        <v>64068</v>
      </c>
      <c r="AC328" t="s">
        <v>533</v>
      </c>
      <c r="AD328" t="s">
        <v>1866</v>
      </c>
      <c r="AE328" t="s">
        <v>523</v>
      </c>
      <c r="AF328" t="s">
        <v>1866</v>
      </c>
      <c r="AG328" t="s">
        <v>336</v>
      </c>
      <c r="AI328" t="s">
        <v>681</v>
      </c>
    </row>
    <row r="329" spans="28:35">
      <c r="AB329">
        <v>64069</v>
      </c>
      <c r="AC329" t="s">
        <v>533</v>
      </c>
      <c r="AD329" t="s">
        <v>1866</v>
      </c>
      <c r="AE329" t="s">
        <v>523</v>
      </c>
      <c r="AF329" t="s">
        <v>1866</v>
      </c>
      <c r="AG329" t="s">
        <v>336</v>
      </c>
      <c r="AI329" t="s">
        <v>349</v>
      </c>
    </row>
    <row r="330" spans="28:35">
      <c r="AB330">
        <v>65338</v>
      </c>
      <c r="AC330" t="s">
        <v>413</v>
      </c>
      <c r="AD330" t="s">
        <v>1866</v>
      </c>
      <c r="AE330" t="s">
        <v>403</v>
      </c>
      <c r="AF330" t="s">
        <v>1866</v>
      </c>
      <c r="AG330" t="s">
        <v>336</v>
      </c>
      <c r="AI330" t="s">
        <v>682</v>
      </c>
    </row>
    <row r="331" spans="28:35">
      <c r="AB331">
        <v>64654</v>
      </c>
      <c r="AC331" t="s">
        <v>589</v>
      </c>
      <c r="AD331" t="s">
        <v>1866</v>
      </c>
      <c r="AE331" t="s">
        <v>583</v>
      </c>
      <c r="AF331" t="s">
        <v>1866</v>
      </c>
      <c r="AG331" t="s">
        <v>336</v>
      </c>
      <c r="AI331" t="s">
        <v>308</v>
      </c>
    </row>
    <row r="332" spans="28:35">
      <c r="AB332">
        <v>65682</v>
      </c>
      <c r="AC332" t="s">
        <v>580</v>
      </c>
      <c r="AD332" t="s">
        <v>1866</v>
      </c>
      <c r="AE332" t="s">
        <v>575</v>
      </c>
      <c r="AF332" t="s">
        <v>1866</v>
      </c>
      <c r="AG332" t="s">
        <v>336</v>
      </c>
      <c r="AI332" t="s">
        <v>683</v>
      </c>
    </row>
    <row r="333" spans="28:35">
      <c r="AB333">
        <v>64070</v>
      </c>
      <c r="AC333" t="s">
        <v>626</v>
      </c>
      <c r="AD333" t="s">
        <v>1866</v>
      </c>
      <c r="AE333" t="s">
        <v>653</v>
      </c>
      <c r="AF333" t="s">
        <v>302</v>
      </c>
      <c r="AG333" t="s">
        <v>336</v>
      </c>
      <c r="AI333" t="s">
        <v>684</v>
      </c>
    </row>
    <row r="334" spans="28:35">
      <c r="AB334">
        <v>65301</v>
      </c>
      <c r="AC334" t="s">
        <v>627</v>
      </c>
      <c r="AD334" t="s">
        <v>1866</v>
      </c>
      <c r="AE334" t="s">
        <v>711</v>
      </c>
      <c r="AF334" t="s">
        <v>1866</v>
      </c>
      <c r="AG334" t="s">
        <v>336</v>
      </c>
      <c r="AI334" t="s">
        <v>685</v>
      </c>
    </row>
    <row r="335" spans="28:35">
      <c r="AB335">
        <v>65334</v>
      </c>
      <c r="AC335" t="s">
        <v>627</v>
      </c>
      <c r="AD335" t="s">
        <v>1866</v>
      </c>
      <c r="AE335" t="s">
        <v>711</v>
      </c>
      <c r="AF335" t="s">
        <v>1866</v>
      </c>
      <c r="AG335" t="s">
        <v>336</v>
      </c>
      <c r="AI335" t="s">
        <v>665</v>
      </c>
    </row>
    <row r="336" spans="28:35">
      <c r="AB336">
        <v>64763</v>
      </c>
      <c r="AC336" t="s">
        <v>628</v>
      </c>
      <c r="AD336" t="s">
        <v>1866</v>
      </c>
      <c r="AE336" t="s">
        <v>714</v>
      </c>
      <c r="AF336" t="s">
        <v>1866</v>
      </c>
      <c r="AG336" t="s">
        <v>336</v>
      </c>
      <c r="AI336" t="s">
        <v>686</v>
      </c>
    </row>
    <row r="337" spans="28:35">
      <c r="AB337">
        <v>64656</v>
      </c>
      <c r="AC337" t="s">
        <v>629</v>
      </c>
      <c r="AD337" t="s">
        <v>1866</v>
      </c>
      <c r="AE337" t="s">
        <v>706</v>
      </c>
      <c r="AF337" t="s">
        <v>1866</v>
      </c>
      <c r="AG337" t="s">
        <v>336</v>
      </c>
      <c r="AI337" t="s">
        <v>687</v>
      </c>
    </row>
    <row r="338" spans="28:35">
      <c r="AB338">
        <v>64466</v>
      </c>
      <c r="AC338" t="s">
        <v>630</v>
      </c>
      <c r="AD338" t="s">
        <v>1866</v>
      </c>
      <c r="AE338" t="s">
        <v>528</v>
      </c>
      <c r="AF338" t="s">
        <v>1866</v>
      </c>
      <c r="AG338" t="s">
        <v>336</v>
      </c>
      <c r="AI338" t="s">
        <v>688</v>
      </c>
    </row>
    <row r="339" spans="28:35">
      <c r="AB339">
        <v>65339</v>
      </c>
      <c r="AC339" t="s">
        <v>631</v>
      </c>
      <c r="AD339" t="s">
        <v>1866</v>
      </c>
      <c r="AE339" t="s">
        <v>715</v>
      </c>
      <c r="AF339" t="s">
        <v>1866</v>
      </c>
      <c r="AG339" t="s">
        <v>336</v>
      </c>
      <c r="AI339" t="s">
        <v>313</v>
      </c>
    </row>
    <row r="340" spans="28:35">
      <c r="AB340">
        <v>65340</v>
      </c>
      <c r="AC340" t="s">
        <v>633</v>
      </c>
      <c r="AD340" t="s">
        <v>304</v>
      </c>
      <c r="AE340" t="s">
        <v>715</v>
      </c>
      <c r="AF340" t="s">
        <v>1866</v>
      </c>
      <c r="AG340" t="s">
        <v>1866</v>
      </c>
      <c r="AI340" t="s">
        <v>518</v>
      </c>
    </row>
    <row r="341" spans="28:35">
      <c r="AB341">
        <v>65340</v>
      </c>
      <c r="AC341" t="s">
        <v>635</v>
      </c>
      <c r="AD341" t="s">
        <v>1866</v>
      </c>
      <c r="AE341" t="s">
        <v>715</v>
      </c>
      <c r="AF341" t="s">
        <v>1866</v>
      </c>
      <c r="AG341" t="s">
        <v>336</v>
      </c>
      <c r="AI341" t="s">
        <v>581</v>
      </c>
    </row>
    <row r="342" spans="28:35">
      <c r="AB342">
        <v>64147</v>
      </c>
      <c r="AC342" t="s">
        <v>637</v>
      </c>
      <c r="AD342" t="s">
        <v>1866</v>
      </c>
      <c r="AE342" t="s">
        <v>653</v>
      </c>
      <c r="AF342" t="s">
        <v>302</v>
      </c>
      <c r="AG342" t="s">
        <v>336</v>
      </c>
      <c r="AI342" t="s">
        <v>612</v>
      </c>
    </row>
    <row r="343" spans="28:35">
      <c r="AB343">
        <v>64467</v>
      </c>
      <c r="AC343" t="s">
        <v>621</v>
      </c>
      <c r="AD343" t="s">
        <v>1866</v>
      </c>
      <c r="AE343" t="s">
        <v>614</v>
      </c>
      <c r="AF343" t="s">
        <v>1866</v>
      </c>
      <c r="AG343" t="s">
        <v>336</v>
      </c>
      <c r="AI343" t="s">
        <v>689</v>
      </c>
    </row>
    <row r="344" spans="28:35">
      <c r="AB344">
        <v>64468</v>
      </c>
      <c r="AC344" t="s">
        <v>639</v>
      </c>
      <c r="AD344" t="s">
        <v>1866</v>
      </c>
      <c r="AE344" t="s">
        <v>710</v>
      </c>
      <c r="AF344" t="s">
        <v>1866</v>
      </c>
      <c r="AG344" t="s">
        <v>336</v>
      </c>
      <c r="AI344" t="s">
        <v>609</v>
      </c>
    </row>
    <row r="345" spans="28:35">
      <c r="AB345">
        <v>64469</v>
      </c>
      <c r="AC345" t="s">
        <v>593</v>
      </c>
      <c r="AD345" t="s">
        <v>1866</v>
      </c>
      <c r="AE345" t="s">
        <v>592</v>
      </c>
      <c r="AF345" t="s">
        <v>1866</v>
      </c>
      <c r="AG345" t="s">
        <v>336</v>
      </c>
      <c r="AI345" t="s">
        <v>463</v>
      </c>
    </row>
    <row r="346" spans="28:35">
      <c r="AB346">
        <v>64071</v>
      </c>
      <c r="AC346" t="s">
        <v>640</v>
      </c>
      <c r="AD346" t="s">
        <v>1866</v>
      </c>
      <c r="AE346" t="s">
        <v>698</v>
      </c>
      <c r="AF346" t="s">
        <v>1866</v>
      </c>
      <c r="AG346" t="s">
        <v>336</v>
      </c>
      <c r="AI346" t="s">
        <v>597</v>
      </c>
    </row>
    <row r="347" spans="28:35">
      <c r="AB347">
        <v>64657</v>
      </c>
      <c r="AC347" t="s">
        <v>606</v>
      </c>
      <c r="AD347" t="s">
        <v>1866</v>
      </c>
      <c r="AE347" t="s">
        <v>543</v>
      </c>
      <c r="AF347" t="s">
        <v>1866</v>
      </c>
      <c r="AG347" t="s">
        <v>336</v>
      </c>
      <c r="AI347" t="s">
        <v>500</v>
      </c>
    </row>
    <row r="348" spans="28:35">
      <c r="AB348">
        <v>64657</v>
      </c>
      <c r="AC348" t="s">
        <v>608</v>
      </c>
      <c r="AD348" t="s">
        <v>1866</v>
      </c>
      <c r="AE348" t="s">
        <v>543</v>
      </c>
      <c r="AF348" t="s">
        <v>1866</v>
      </c>
      <c r="AG348" t="s">
        <v>336</v>
      </c>
      <c r="AI348" t="s">
        <v>399</v>
      </c>
    </row>
    <row r="349" spans="28:35">
      <c r="AB349">
        <v>64660</v>
      </c>
      <c r="AC349" t="s">
        <v>508</v>
      </c>
      <c r="AD349" t="s">
        <v>1866</v>
      </c>
      <c r="AE349" t="s">
        <v>501</v>
      </c>
      <c r="AF349" t="s">
        <v>1866</v>
      </c>
      <c r="AG349" t="s">
        <v>336</v>
      </c>
      <c r="AI349" t="s">
        <v>491</v>
      </c>
    </row>
    <row r="350" spans="28:35">
      <c r="AB350">
        <v>64661</v>
      </c>
      <c r="AC350" t="s">
        <v>642</v>
      </c>
      <c r="AD350" t="s">
        <v>1866</v>
      </c>
      <c r="AE350" t="s">
        <v>642</v>
      </c>
      <c r="AF350" t="s">
        <v>1866</v>
      </c>
      <c r="AG350" t="s">
        <v>336</v>
      </c>
      <c r="AI350" t="s">
        <v>666</v>
      </c>
    </row>
    <row r="351" spans="28:35">
      <c r="AB351">
        <v>64765</v>
      </c>
      <c r="AC351" t="s">
        <v>643</v>
      </c>
      <c r="AD351" t="s">
        <v>1866</v>
      </c>
      <c r="AE351" t="s">
        <v>716</v>
      </c>
      <c r="AF351" t="s">
        <v>1866</v>
      </c>
      <c r="AG351" t="s">
        <v>336</v>
      </c>
      <c r="AI351" t="s">
        <v>520</v>
      </c>
    </row>
    <row r="352" spans="28:35">
      <c r="AB352">
        <v>65344</v>
      </c>
      <c r="AC352" t="s">
        <v>645</v>
      </c>
      <c r="AD352" t="s">
        <v>1866</v>
      </c>
      <c r="AE352" t="s">
        <v>715</v>
      </c>
      <c r="AF352" t="s">
        <v>1866</v>
      </c>
      <c r="AG352" t="s">
        <v>336</v>
      </c>
      <c r="AI352" t="s">
        <v>690</v>
      </c>
    </row>
    <row r="353" spans="28:35">
      <c r="AB353">
        <v>64766</v>
      </c>
      <c r="AC353" t="s">
        <v>376</v>
      </c>
      <c r="AD353" t="s">
        <v>1866</v>
      </c>
      <c r="AE353" t="s">
        <v>365</v>
      </c>
      <c r="AF353" t="s">
        <v>1866</v>
      </c>
      <c r="AG353" t="s">
        <v>336</v>
      </c>
      <c r="AI353" t="s">
        <v>400</v>
      </c>
    </row>
    <row r="354" spans="28:35">
      <c r="AB354">
        <v>64767</v>
      </c>
      <c r="AC354" t="s">
        <v>646</v>
      </c>
      <c r="AD354" t="s">
        <v>1866</v>
      </c>
      <c r="AE354" t="s">
        <v>716</v>
      </c>
      <c r="AF354" t="s">
        <v>1866</v>
      </c>
      <c r="AG354" t="s">
        <v>336</v>
      </c>
      <c r="AI354" t="s">
        <v>450</v>
      </c>
    </row>
    <row r="355" spans="28:35">
      <c r="AB355">
        <v>64769</v>
      </c>
      <c r="AC355" t="s">
        <v>378</v>
      </c>
      <c r="AD355" t="s">
        <v>1866</v>
      </c>
      <c r="AE355" t="s">
        <v>365</v>
      </c>
      <c r="AF355" t="s">
        <v>1866</v>
      </c>
      <c r="AG355" t="s">
        <v>336</v>
      </c>
      <c r="AI355" t="s">
        <v>358</v>
      </c>
    </row>
    <row r="356" spans="28:35">
      <c r="AB356">
        <v>64072</v>
      </c>
      <c r="AC356" t="s">
        <v>535</v>
      </c>
      <c r="AD356" t="s">
        <v>1866</v>
      </c>
      <c r="AE356" t="s">
        <v>523</v>
      </c>
      <c r="AF356" t="s">
        <v>1866</v>
      </c>
      <c r="AG356" t="s">
        <v>336</v>
      </c>
      <c r="AI356" t="s">
        <v>691</v>
      </c>
    </row>
    <row r="357" spans="28:35">
      <c r="AB357">
        <v>65270</v>
      </c>
      <c r="AC357" t="s">
        <v>647</v>
      </c>
      <c r="AD357" t="s">
        <v>303</v>
      </c>
      <c r="AE357" t="s">
        <v>542</v>
      </c>
      <c r="AF357" t="s">
        <v>1866</v>
      </c>
      <c r="AG357" t="s">
        <v>1866</v>
      </c>
      <c r="AI357" t="s">
        <v>634</v>
      </c>
    </row>
    <row r="358" spans="28:35">
      <c r="AB358">
        <v>64770</v>
      </c>
      <c r="AC358" t="s">
        <v>632</v>
      </c>
      <c r="AD358" t="s">
        <v>1866</v>
      </c>
      <c r="AE358" t="s">
        <v>625</v>
      </c>
      <c r="AF358" t="s">
        <v>1866</v>
      </c>
      <c r="AG358" t="s">
        <v>336</v>
      </c>
      <c r="AI358" t="s">
        <v>464</v>
      </c>
    </row>
    <row r="359" spans="28:35">
      <c r="AB359">
        <v>65336</v>
      </c>
      <c r="AC359" t="s">
        <v>650</v>
      </c>
      <c r="AD359" t="s">
        <v>1866</v>
      </c>
      <c r="AE359" t="s">
        <v>692</v>
      </c>
      <c r="AF359" t="s">
        <v>1866</v>
      </c>
      <c r="AG359" t="s">
        <v>336</v>
      </c>
      <c r="AI359" t="s">
        <v>693</v>
      </c>
    </row>
    <row r="360" spans="28:35">
      <c r="AB360">
        <v>64664</v>
      </c>
      <c r="AC360" t="s">
        <v>652</v>
      </c>
      <c r="AD360" t="s">
        <v>1866</v>
      </c>
      <c r="AE360" t="s">
        <v>706</v>
      </c>
      <c r="AF360" t="s">
        <v>1866</v>
      </c>
      <c r="AG360" t="s">
        <v>336</v>
      </c>
      <c r="AI360" t="s">
        <v>613</v>
      </c>
    </row>
    <row r="361" spans="28:35">
      <c r="AB361">
        <v>65345</v>
      </c>
      <c r="AC361" t="s">
        <v>654</v>
      </c>
      <c r="AD361" t="s">
        <v>1866</v>
      </c>
      <c r="AE361" t="s">
        <v>711</v>
      </c>
      <c r="AF361" t="s">
        <v>1866</v>
      </c>
      <c r="AG361" t="s">
        <v>336</v>
      </c>
      <c r="AI361" t="s">
        <v>572</v>
      </c>
    </row>
    <row r="362" spans="28:35">
      <c r="AB362">
        <v>64073</v>
      </c>
      <c r="AC362" t="s">
        <v>537</v>
      </c>
      <c r="AD362" t="s">
        <v>1866</v>
      </c>
      <c r="AE362" t="s">
        <v>523</v>
      </c>
      <c r="AF362" t="s">
        <v>1866</v>
      </c>
      <c r="AG362" t="s">
        <v>336</v>
      </c>
      <c r="AI362" t="s">
        <v>522</v>
      </c>
    </row>
    <row r="363" spans="28:35">
      <c r="AB363">
        <v>64470</v>
      </c>
      <c r="AC363" t="s">
        <v>641</v>
      </c>
      <c r="AD363" t="s">
        <v>1866</v>
      </c>
      <c r="AE363" t="s">
        <v>528</v>
      </c>
      <c r="AF363" t="s">
        <v>1866</v>
      </c>
      <c r="AG363" t="s">
        <v>336</v>
      </c>
      <c r="AI363" t="s">
        <v>573</v>
      </c>
    </row>
    <row r="364" spans="28:35">
      <c r="AB364">
        <v>64771</v>
      </c>
      <c r="AC364" t="s">
        <v>655</v>
      </c>
      <c r="AD364" t="s">
        <v>1866</v>
      </c>
      <c r="AE364" t="s">
        <v>716</v>
      </c>
      <c r="AF364" t="s">
        <v>1866</v>
      </c>
      <c r="AG364" t="s">
        <v>336</v>
      </c>
      <c r="AI364" t="s">
        <v>599</v>
      </c>
    </row>
    <row r="365" spans="28:35">
      <c r="AB365">
        <v>65325</v>
      </c>
      <c r="AC365" t="s">
        <v>415</v>
      </c>
      <c r="AD365" t="s">
        <v>1866</v>
      </c>
      <c r="AE365" t="s">
        <v>403</v>
      </c>
      <c r="AF365" t="s">
        <v>1866</v>
      </c>
      <c r="AG365" t="s">
        <v>336</v>
      </c>
      <c r="AI365" t="s">
        <v>669</v>
      </c>
    </row>
    <row r="366" spans="28:35">
      <c r="AB366">
        <v>64481</v>
      </c>
      <c r="AC366" t="s">
        <v>622</v>
      </c>
      <c r="AD366" t="s">
        <v>1866</v>
      </c>
      <c r="AE366" t="s">
        <v>614</v>
      </c>
      <c r="AF366" t="s">
        <v>1866</v>
      </c>
      <c r="AG366" t="s">
        <v>336</v>
      </c>
      <c r="AI366" t="s">
        <v>695</v>
      </c>
    </row>
    <row r="367" spans="28:35">
      <c r="AB367">
        <v>65261</v>
      </c>
      <c r="AC367" t="s">
        <v>510</v>
      </c>
      <c r="AD367" t="s">
        <v>1866</v>
      </c>
      <c r="AE367" t="s">
        <v>501</v>
      </c>
      <c r="AF367" t="s">
        <v>1866</v>
      </c>
      <c r="AG367" t="s">
        <v>336</v>
      </c>
      <c r="AI367" t="s">
        <v>636</v>
      </c>
    </row>
    <row r="368" spans="28:35">
      <c r="AB368">
        <v>64067</v>
      </c>
      <c r="AC368" t="s">
        <v>2154</v>
      </c>
      <c r="AD368" t="s">
        <v>1866</v>
      </c>
      <c r="AE368" t="s">
        <v>698</v>
      </c>
      <c r="AF368" t="s">
        <v>1866</v>
      </c>
      <c r="AG368" t="s">
        <v>336</v>
      </c>
      <c r="AI368" t="s">
        <v>697</v>
      </c>
    </row>
    <row r="369" spans="28:35">
      <c r="AB369">
        <v>64074</v>
      </c>
      <c r="AC369" t="s">
        <v>656</v>
      </c>
      <c r="AD369" t="s">
        <v>1866</v>
      </c>
      <c r="AE369" t="s">
        <v>698</v>
      </c>
      <c r="AF369" t="s">
        <v>1866</v>
      </c>
      <c r="AG369" t="s">
        <v>336</v>
      </c>
      <c r="AI369" t="s">
        <v>694</v>
      </c>
    </row>
    <row r="370" spans="28:35">
      <c r="AB370">
        <v>65340</v>
      </c>
      <c r="AC370" t="s">
        <v>657</v>
      </c>
      <c r="AD370" t="s">
        <v>1866</v>
      </c>
      <c r="AE370" t="s">
        <v>715</v>
      </c>
      <c r="AF370" t="s">
        <v>1866</v>
      </c>
      <c r="AG370" t="s">
        <v>336</v>
      </c>
      <c r="AI370" t="s">
        <v>562</v>
      </c>
    </row>
    <row r="371" spans="28:35">
      <c r="AB371">
        <v>65347</v>
      </c>
      <c r="AC371" t="s">
        <v>658</v>
      </c>
      <c r="AD371" t="s">
        <v>1866</v>
      </c>
      <c r="AE371" t="s">
        <v>715</v>
      </c>
      <c r="AF371" t="s">
        <v>1866</v>
      </c>
      <c r="AG371" t="s">
        <v>336</v>
      </c>
      <c r="AI371" t="s">
        <v>699</v>
      </c>
    </row>
    <row r="372" spans="28:35">
      <c r="AB372">
        <v>64772</v>
      </c>
      <c r="AC372" t="s">
        <v>70</v>
      </c>
      <c r="AD372" t="s">
        <v>1866</v>
      </c>
      <c r="AE372" t="s">
        <v>716</v>
      </c>
      <c r="AF372" t="s">
        <v>1866</v>
      </c>
      <c r="AG372" t="s">
        <v>336</v>
      </c>
      <c r="AI372" t="s">
        <v>466</v>
      </c>
    </row>
    <row r="373" spans="28:35">
      <c r="AB373">
        <v>65274</v>
      </c>
      <c r="AC373" t="s">
        <v>648</v>
      </c>
      <c r="AD373" t="s">
        <v>1866</v>
      </c>
      <c r="AE373" t="s">
        <v>644</v>
      </c>
      <c r="AF373" t="s">
        <v>1866</v>
      </c>
      <c r="AG373" t="s">
        <v>336</v>
      </c>
      <c r="AI373" t="s">
        <v>700</v>
      </c>
    </row>
    <row r="374" spans="28:35">
      <c r="AB374">
        <v>64471</v>
      </c>
      <c r="AC374" t="s">
        <v>623</v>
      </c>
      <c r="AD374" t="s">
        <v>1866</v>
      </c>
      <c r="AE374" t="s">
        <v>614</v>
      </c>
      <c r="AF374" t="s">
        <v>1866</v>
      </c>
      <c r="AG374" t="s">
        <v>336</v>
      </c>
      <c r="AI374" t="s">
        <v>701</v>
      </c>
    </row>
    <row r="375" spans="28:35">
      <c r="AB375">
        <v>64668</v>
      </c>
      <c r="AC375" t="s">
        <v>461</v>
      </c>
      <c r="AD375" t="s">
        <v>1866</v>
      </c>
      <c r="AE375" t="s">
        <v>453</v>
      </c>
      <c r="AF375" t="s">
        <v>1866</v>
      </c>
      <c r="AG375" t="s">
        <v>336</v>
      </c>
      <c r="AI375" t="s">
        <v>314</v>
      </c>
    </row>
    <row r="376" spans="28:35">
      <c r="AB376">
        <v>64116</v>
      </c>
      <c r="AC376" t="s">
        <v>307</v>
      </c>
      <c r="AD376" t="s">
        <v>1152</v>
      </c>
      <c r="AE376" t="s">
        <v>523</v>
      </c>
      <c r="AF376" t="s">
        <v>1866</v>
      </c>
      <c r="AG376" t="s">
        <v>1866</v>
      </c>
      <c r="AI376" t="s">
        <v>425</v>
      </c>
    </row>
    <row r="377" spans="28:35">
      <c r="AB377">
        <v>64117</v>
      </c>
      <c r="AC377" t="s">
        <v>307</v>
      </c>
      <c r="AD377" t="s">
        <v>1152</v>
      </c>
      <c r="AE377" t="s">
        <v>523</v>
      </c>
      <c r="AF377" t="s">
        <v>1866</v>
      </c>
      <c r="AG377" t="s">
        <v>1866</v>
      </c>
      <c r="AI377" t="s">
        <v>360</v>
      </c>
    </row>
    <row r="378" spans="28:35">
      <c r="AB378">
        <v>64151</v>
      </c>
      <c r="AC378" t="s">
        <v>2155</v>
      </c>
      <c r="AD378" t="s">
        <v>1866</v>
      </c>
      <c r="AE378" t="s">
        <v>712</v>
      </c>
      <c r="AF378" t="s">
        <v>1152</v>
      </c>
      <c r="AG378" t="s">
        <v>1866</v>
      </c>
      <c r="AI378" t="s">
        <v>702</v>
      </c>
    </row>
    <row r="379" spans="28:35">
      <c r="AB379">
        <v>64075</v>
      </c>
      <c r="AC379" t="s">
        <v>659</v>
      </c>
      <c r="AD379" t="s">
        <v>1866</v>
      </c>
      <c r="AE379" t="s">
        <v>653</v>
      </c>
      <c r="AF379" t="s">
        <v>302</v>
      </c>
      <c r="AG379" t="s">
        <v>336</v>
      </c>
      <c r="AI379" t="s">
        <v>601</v>
      </c>
    </row>
    <row r="380" spans="28:35">
      <c r="AB380">
        <v>64118</v>
      </c>
      <c r="AC380" t="s">
        <v>2156</v>
      </c>
      <c r="AD380" t="s">
        <v>1866</v>
      </c>
      <c r="AE380" t="s">
        <v>523</v>
      </c>
      <c r="AF380" t="s">
        <v>1866</v>
      </c>
      <c r="AG380" t="s">
        <v>336</v>
      </c>
      <c r="AI380" t="s">
        <v>703</v>
      </c>
    </row>
    <row r="381" spans="28:35">
      <c r="AB381">
        <v>64118</v>
      </c>
      <c r="AC381" t="s">
        <v>538</v>
      </c>
      <c r="AD381" t="s">
        <v>1866</v>
      </c>
      <c r="AE381" t="s">
        <v>523</v>
      </c>
      <c r="AF381" t="s">
        <v>1866</v>
      </c>
      <c r="AG381" t="s">
        <v>336</v>
      </c>
      <c r="AI381" t="s">
        <v>704</v>
      </c>
    </row>
    <row r="382" spans="28:35">
      <c r="AB382">
        <v>64118</v>
      </c>
      <c r="AC382" t="s">
        <v>2157</v>
      </c>
      <c r="AD382" t="s">
        <v>1866</v>
      </c>
      <c r="AE382" t="s">
        <v>523</v>
      </c>
      <c r="AF382" t="s">
        <v>1866</v>
      </c>
      <c r="AG382" t="s">
        <v>336</v>
      </c>
      <c r="AI382" t="s">
        <v>493</v>
      </c>
    </row>
    <row r="383" spans="28:35">
      <c r="AB383">
        <v>64076</v>
      </c>
      <c r="AC383" t="s">
        <v>660</v>
      </c>
      <c r="AD383" t="s">
        <v>1866</v>
      </c>
      <c r="AE383" t="s">
        <v>698</v>
      </c>
      <c r="AF383" t="s">
        <v>1866</v>
      </c>
      <c r="AG383" t="s">
        <v>336</v>
      </c>
      <c r="AI383" t="s">
        <v>362</v>
      </c>
    </row>
    <row r="384" spans="28:35">
      <c r="AB384">
        <v>65355</v>
      </c>
      <c r="AC384" t="s">
        <v>417</v>
      </c>
      <c r="AD384" t="s">
        <v>1866</v>
      </c>
      <c r="AE384" t="s">
        <v>403</v>
      </c>
      <c r="AF384" t="s">
        <v>1866</v>
      </c>
      <c r="AG384" t="s">
        <v>336</v>
      </c>
      <c r="AI384" t="s">
        <v>705</v>
      </c>
    </row>
    <row r="385" spans="28:35">
      <c r="AB385">
        <v>64473</v>
      </c>
      <c r="AC385" t="s">
        <v>106</v>
      </c>
      <c r="AD385" t="s">
        <v>1866</v>
      </c>
      <c r="AE385" t="s">
        <v>528</v>
      </c>
      <c r="AF385" t="s">
        <v>1866</v>
      </c>
      <c r="AG385" t="s">
        <v>336</v>
      </c>
      <c r="AI385" t="s">
        <v>707</v>
      </c>
    </row>
    <row r="386" spans="28:35">
      <c r="AB386">
        <v>64077</v>
      </c>
      <c r="AC386" t="s">
        <v>661</v>
      </c>
      <c r="AD386" t="s">
        <v>1866</v>
      </c>
      <c r="AE386" t="s">
        <v>713</v>
      </c>
      <c r="AF386" t="s">
        <v>1866</v>
      </c>
      <c r="AG386" t="s">
        <v>336</v>
      </c>
      <c r="AI386" t="s">
        <v>427</v>
      </c>
    </row>
    <row r="387" spans="28:35">
      <c r="AB387">
        <v>64474</v>
      </c>
      <c r="AC387" t="s">
        <v>595</v>
      </c>
      <c r="AD387" t="s">
        <v>1866</v>
      </c>
      <c r="AE387" t="s">
        <v>592</v>
      </c>
      <c r="AF387" t="s">
        <v>1866</v>
      </c>
      <c r="AG387" t="s">
        <v>336</v>
      </c>
      <c r="AI387" t="s">
        <v>696</v>
      </c>
    </row>
    <row r="388" spans="28:35">
      <c r="AB388">
        <v>64776</v>
      </c>
      <c r="AC388" t="s">
        <v>662</v>
      </c>
      <c r="AD388" t="s">
        <v>1866</v>
      </c>
      <c r="AE388" t="s">
        <v>714</v>
      </c>
      <c r="AF388" t="s">
        <v>1866</v>
      </c>
      <c r="AG388" t="s">
        <v>336</v>
      </c>
      <c r="AI388" t="s">
        <v>638</v>
      </c>
    </row>
    <row r="389" spans="28:35">
      <c r="AB389">
        <v>65338</v>
      </c>
      <c r="AC389" t="s">
        <v>419</v>
      </c>
      <c r="AD389" t="s">
        <v>1866</v>
      </c>
      <c r="AE389" t="s">
        <v>403</v>
      </c>
      <c r="AF389" t="s">
        <v>1866</v>
      </c>
      <c r="AG389" t="s">
        <v>336</v>
      </c>
      <c r="AI389" t="s">
        <v>591</v>
      </c>
    </row>
    <row r="390" spans="28:35">
      <c r="AB390">
        <v>64089</v>
      </c>
      <c r="AC390" t="s">
        <v>539</v>
      </c>
      <c r="AD390" t="s">
        <v>1866</v>
      </c>
      <c r="AE390" t="s">
        <v>523</v>
      </c>
      <c r="AF390" t="s">
        <v>1866</v>
      </c>
      <c r="AG390" t="s">
        <v>336</v>
      </c>
      <c r="AI390" t="s">
        <v>452</v>
      </c>
    </row>
    <row r="391" spans="28:35">
      <c r="AB391">
        <v>64151</v>
      </c>
      <c r="AC391" t="s">
        <v>663</v>
      </c>
      <c r="AD391" t="s">
        <v>1866</v>
      </c>
      <c r="AE391" t="s">
        <v>712</v>
      </c>
      <c r="AF391" t="s">
        <v>1152</v>
      </c>
      <c r="AG391" t="s">
        <v>1866</v>
      </c>
      <c r="AI391" t="s">
        <v>429</v>
      </c>
    </row>
    <row r="392" spans="28:35">
      <c r="AB392">
        <v>64152</v>
      </c>
      <c r="AC392" t="s">
        <v>663</v>
      </c>
      <c r="AD392" t="s">
        <v>1866</v>
      </c>
      <c r="AE392" t="s">
        <v>712</v>
      </c>
      <c r="AF392" t="s">
        <v>1152</v>
      </c>
      <c r="AG392" t="s">
        <v>1866</v>
      </c>
      <c r="AI392" t="s">
        <v>565</v>
      </c>
    </row>
    <row r="393" spans="28:35">
      <c r="AB393">
        <v>64475</v>
      </c>
      <c r="AC393" t="s">
        <v>664</v>
      </c>
      <c r="AD393" t="s">
        <v>1866</v>
      </c>
      <c r="AE393" t="s">
        <v>710</v>
      </c>
      <c r="AF393" t="s">
        <v>1866</v>
      </c>
      <c r="AG393" t="s">
        <v>336</v>
      </c>
      <c r="AI393" t="s">
        <v>708</v>
      </c>
    </row>
    <row r="394" spans="28:35">
      <c r="AB394">
        <v>64777</v>
      </c>
      <c r="AC394" t="s">
        <v>391</v>
      </c>
      <c r="AD394" t="s">
        <v>1866</v>
      </c>
      <c r="AE394" t="s">
        <v>380</v>
      </c>
      <c r="AF394" t="s">
        <v>1866</v>
      </c>
      <c r="AG394" t="s">
        <v>336</v>
      </c>
      <c r="AI394" t="s">
        <v>709</v>
      </c>
    </row>
    <row r="395" spans="28:35">
      <c r="AB395">
        <v>64670</v>
      </c>
      <c r="AC395" t="s">
        <v>590</v>
      </c>
      <c r="AD395" t="s">
        <v>1866</v>
      </c>
      <c r="AE395" t="s">
        <v>583</v>
      </c>
      <c r="AF395" t="s">
        <v>1866</v>
      </c>
      <c r="AG395" t="s">
        <v>336</v>
      </c>
    </row>
    <row r="396" spans="28:35">
      <c r="AB396">
        <v>64078</v>
      </c>
      <c r="AC396" t="s">
        <v>484</v>
      </c>
      <c r="AD396" t="s">
        <v>1866</v>
      </c>
      <c r="AE396" t="s">
        <v>468</v>
      </c>
      <c r="AF396" t="s">
        <v>1866</v>
      </c>
      <c r="AG396" t="s">
        <v>336</v>
      </c>
    </row>
    <row r="397" spans="28:35">
      <c r="AB397">
        <v>65250</v>
      </c>
      <c r="AC397" t="s">
        <v>649</v>
      </c>
      <c r="AD397" t="s">
        <v>1866</v>
      </c>
      <c r="AE397" t="s">
        <v>644</v>
      </c>
      <c r="AF397" t="s">
        <v>1866</v>
      </c>
      <c r="AG397" t="s">
        <v>336</v>
      </c>
    </row>
    <row r="398" spans="28:35">
      <c r="AB398">
        <v>64476</v>
      </c>
      <c r="AC398" t="s">
        <v>667</v>
      </c>
      <c r="AD398" t="s">
        <v>1866</v>
      </c>
      <c r="AE398" t="s">
        <v>710</v>
      </c>
      <c r="AF398" t="s">
        <v>1866</v>
      </c>
      <c r="AG398" t="s">
        <v>336</v>
      </c>
    </row>
    <row r="399" spans="28:35">
      <c r="AB399">
        <v>64079</v>
      </c>
      <c r="AC399" t="s">
        <v>668</v>
      </c>
      <c r="AD399" t="s">
        <v>302</v>
      </c>
      <c r="AE399" t="s">
        <v>712</v>
      </c>
      <c r="AF399" t="s">
        <v>1152</v>
      </c>
      <c r="AG399" t="s">
        <v>1866</v>
      </c>
    </row>
    <row r="400" spans="28:35">
      <c r="AB400">
        <v>64151</v>
      </c>
      <c r="AC400" t="s">
        <v>670</v>
      </c>
      <c r="AD400" t="s">
        <v>1866</v>
      </c>
      <c r="AE400" t="s">
        <v>712</v>
      </c>
      <c r="AF400" t="s">
        <v>1152</v>
      </c>
      <c r="AG400" t="s">
        <v>1866</v>
      </c>
    </row>
    <row r="401" spans="28:33">
      <c r="AB401">
        <v>64477</v>
      </c>
      <c r="AC401" t="s">
        <v>571</v>
      </c>
      <c r="AD401" t="s">
        <v>304</v>
      </c>
      <c r="AE401" t="s">
        <v>448</v>
      </c>
      <c r="AF401" t="s">
        <v>1866</v>
      </c>
      <c r="AG401" t="s">
        <v>1866</v>
      </c>
    </row>
    <row r="402" spans="28:33">
      <c r="AB402">
        <v>64080</v>
      </c>
      <c r="AC402" t="s">
        <v>486</v>
      </c>
      <c r="AD402" t="s">
        <v>1866</v>
      </c>
      <c r="AE402" t="s">
        <v>468</v>
      </c>
      <c r="AF402" t="s">
        <v>1866</v>
      </c>
      <c r="AG402" t="s">
        <v>336</v>
      </c>
    </row>
    <row r="403" spans="28:33">
      <c r="AB403">
        <v>64068</v>
      </c>
      <c r="AC403" t="s">
        <v>541</v>
      </c>
      <c r="AD403" t="s">
        <v>303</v>
      </c>
      <c r="AE403" t="s">
        <v>523</v>
      </c>
      <c r="AF403" t="s">
        <v>1866</v>
      </c>
      <c r="AG403" t="s">
        <v>1866</v>
      </c>
    </row>
    <row r="404" spans="28:33">
      <c r="AB404">
        <v>64780</v>
      </c>
      <c r="AC404" t="s">
        <v>393</v>
      </c>
      <c r="AD404" t="s">
        <v>1866</v>
      </c>
      <c r="AE404" t="s">
        <v>380</v>
      </c>
      <c r="AF404" t="s">
        <v>1866</v>
      </c>
      <c r="AG404" t="s">
        <v>336</v>
      </c>
    </row>
    <row r="405" spans="28:33">
      <c r="AB405">
        <v>65281</v>
      </c>
      <c r="AC405" t="s">
        <v>512</v>
      </c>
      <c r="AD405" t="s">
        <v>1866</v>
      </c>
      <c r="AE405" t="s">
        <v>501</v>
      </c>
      <c r="AF405" t="s">
        <v>1866</v>
      </c>
      <c r="AG405" t="s">
        <v>336</v>
      </c>
    </row>
    <row r="406" spans="28:33">
      <c r="AB406">
        <v>65230</v>
      </c>
      <c r="AC406" t="s">
        <v>2160</v>
      </c>
      <c r="AD406" t="s">
        <v>1866</v>
      </c>
      <c r="AE406" t="s">
        <v>644</v>
      </c>
      <c r="AF406" t="s">
        <v>1866</v>
      </c>
      <c r="AG406" t="s">
        <v>336</v>
      </c>
    </row>
    <row r="407" spans="28:33">
      <c r="AB407">
        <v>64673</v>
      </c>
      <c r="AC407" t="s">
        <v>671</v>
      </c>
      <c r="AD407" t="s">
        <v>1866</v>
      </c>
      <c r="AE407" t="s">
        <v>642</v>
      </c>
      <c r="AF407" t="s">
        <v>1866</v>
      </c>
      <c r="AG407" t="s">
        <v>336</v>
      </c>
    </row>
    <row r="408" spans="28:33">
      <c r="AB408">
        <v>64478</v>
      </c>
      <c r="AC408" t="s">
        <v>672</v>
      </c>
      <c r="AD408" t="s">
        <v>1866</v>
      </c>
      <c r="AE408" t="s">
        <v>710</v>
      </c>
      <c r="AF408" t="s">
        <v>1866</v>
      </c>
      <c r="AG408" t="s">
        <v>336</v>
      </c>
    </row>
    <row r="409" spans="28:33">
      <c r="AB409">
        <v>65355</v>
      </c>
      <c r="AC409" t="s">
        <v>421</v>
      </c>
      <c r="AD409" t="s">
        <v>1866</v>
      </c>
      <c r="AE409" t="s">
        <v>403</v>
      </c>
      <c r="AF409" t="s">
        <v>1866</v>
      </c>
      <c r="AG409" t="s">
        <v>336</v>
      </c>
    </row>
    <row r="410" spans="28:33">
      <c r="AB410">
        <v>64117</v>
      </c>
      <c r="AC410" t="s">
        <v>542</v>
      </c>
      <c r="AD410" t="s">
        <v>1866</v>
      </c>
      <c r="AE410" t="s">
        <v>523</v>
      </c>
      <c r="AF410" t="s">
        <v>1866</v>
      </c>
      <c r="AG410" t="s">
        <v>336</v>
      </c>
    </row>
    <row r="411" spans="28:33">
      <c r="AB411">
        <v>64161</v>
      </c>
      <c r="AC411" t="s">
        <v>542</v>
      </c>
      <c r="AD411" t="s">
        <v>1866</v>
      </c>
      <c r="AE411" t="s">
        <v>523</v>
      </c>
      <c r="AF411" t="s">
        <v>1866</v>
      </c>
      <c r="AG411" t="s">
        <v>336</v>
      </c>
    </row>
    <row r="412" spans="28:33">
      <c r="AB412">
        <v>64479</v>
      </c>
      <c r="AC412" t="s">
        <v>673</v>
      </c>
      <c r="AD412" t="s">
        <v>1866</v>
      </c>
      <c r="AE412" t="s">
        <v>710</v>
      </c>
      <c r="AF412" t="s">
        <v>1866</v>
      </c>
      <c r="AG412" t="s">
        <v>336</v>
      </c>
    </row>
    <row r="413" spans="28:33">
      <c r="AB413">
        <v>64083</v>
      </c>
      <c r="AC413" t="s">
        <v>488</v>
      </c>
      <c r="AD413" t="s">
        <v>1152</v>
      </c>
      <c r="AE413" t="s">
        <v>468</v>
      </c>
      <c r="AF413" t="s">
        <v>1866</v>
      </c>
      <c r="AG413" t="s">
        <v>1866</v>
      </c>
    </row>
    <row r="414" spans="28:33">
      <c r="AB414">
        <v>64129</v>
      </c>
      <c r="AC414" t="s">
        <v>309</v>
      </c>
      <c r="AD414" t="s">
        <v>1152</v>
      </c>
      <c r="AE414" t="s">
        <v>653</v>
      </c>
      <c r="AF414" t="s">
        <v>302</v>
      </c>
      <c r="AG414" t="s">
        <v>1866</v>
      </c>
    </row>
    <row r="415" spans="28:33">
      <c r="AB415">
        <v>64133</v>
      </c>
      <c r="AC415" t="s">
        <v>309</v>
      </c>
      <c r="AD415" t="s">
        <v>1152</v>
      </c>
      <c r="AE415" t="s">
        <v>653</v>
      </c>
      <c r="AF415" t="s">
        <v>302</v>
      </c>
      <c r="AG415" t="s">
        <v>1866</v>
      </c>
    </row>
    <row r="416" spans="28:33">
      <c r="AB416">
        <v>64138</v>
      </c>
      <c r="AC416" t="s">
        <v>309</v>
      </c>
      <c r="AD416" t="s">
        <v>1152</v>
      </c>
      <c r="AE416" t="s">
        <v>653</v>
      </c>
      <c r="AF416" t="s">
        <v>302</v>
      </c>
      <c r="AG416" t="s">
        <v>1866</v>
      </c>
    </row>
    <row r="417" spans="28:33">
      <c r="AB417">
        <v>64084</v>
      </c>
      <c r="AC417" t="s">
        <v>674</v>
      </c>
      <c r="AD417" t="s">
        <v>1866</v>
      </c>
      <c r="AE417" t="s">
        <v>713</v>
      </c>
      <c r="AF417" t="s">
        <v>1866</v>
      </c>
      <c r="AG417" t="s">
        <v>336</v>
      </c>
    </row>
    <row r="418" spans="28:33">
      <c r="AB418">
        <v>64480</v>
      </c>
      <c r="AC418" t="s">
        <v>346</v>
      </c>
      <c r="AD418" t="s">
        <v>1866</v>
      </c>
      <c r="AE418" t="s">
        <v>335</v>
      </c>
      <c r="AF418" t="s">
        <v>1866</v>
      </c>
      <c r="AG418" t="s">
        <v>336</v>
      </c>
    </row>
    <row r="419" spans="28:33">
      <c r="AB419">
        <v>65278</v>
      </c>
      <c r="AC419" t="s">
        <v>675</v>
      </c>
      <c r="AD419" t="s">
        <v>1866</v>
      </c>
      <c r="AE419" t="s">
        <v>542</v>
      </c>
      <c r="AF419" t="s">
        <v>1866</v>
      </c>
      <c r="AG419" t="s">
        <v>336</v>
      </c>
    </row>
    <row r="420" spans="28:33">
      <c r="AB420">
        <v>64779</v>
      </c>
      <c r="AC420" t="s">
        <v>395</v>
      </c>
      <c r="AD420" t="s">
        <v>1866</v>
      </c>
      <c r="AE420" t="s">
        <v>380</v>
      </c>
      <c r="AF420" t="s">
        <v>1866</v>
      </c>
      <c r="AG420" t="s">
        <v>336</v>
      </c>
    </row>
    <row r="421" spans="28:33">
      <c r="AB421">
        <v>64778</v>
      </c>
      <c r="AC421" t="s">
        <v>676</v>
      </c>
      <c r="AD421" t="s">
        <v>1866</v>
      </c>
      <c r="AE421" t="s">
        <v>716</v>
      </c>
      <c r="AF421" t="s">
        <v>1866</v>
      </c>
      <c r="AG421" t="s">
        <v>336</v>
      </c>
    </row>
    <row r="422" spans="28:33">
      <c r="AB422">
        <v>64085</v>
      </c>
      <c r="AC422" t="s">
        <v>677</v>
      </c>
      <c r="AD422" t="s">
        <v>1866</v>
      </c>
      <c r="AE422" t="s">
        <v>713</v>
      </c>
      <c r="AF422" t="s">
        <v>1866</v>
      </c>
      <c r="AG422" t="s">
        <v>336</v>
      </c>
    </row>
    <row r="423" spans="28:33">
      <c r="AB423">
        <v>64481</v>
      </c>
      <c r="AC423" t="s">
        <v>624</v>
      </c>
      <c r="AD423" t="s">
        <v>1866</v>
      </c>
      <c r="AE423" t="s">
        <v>614</v>
      </c>
      <c r="AF423" t="s">
        <v>1866</v>
      </c>
      <c r="AG423" t="s">
        <v>336</v>
      </c>
    </row>
    <row r="424" spans="28:33">
      <c r="AB424">
        <v>64058</v>
      </c>
      <c r="AC424" t="s">
        <v>2158</v>
      </c>
      <c r="AD424" t="s">
        <v>1866</v>
      </c>
      <c r="AE424" t="s">
        <v>653</v>
      </c>
      <c r="AF424" t="s">
        <v>302</v>
      </c>
      <c r="AG424" t="s">
        <v>336</v>
      </c>
    </row>
    <row r="425" spans="28:33">
      <c r="AB425">
        <v>64150</v>
      </c>
      <c r="AC425" t="s">
        <v>310</v>
      </c>
      <c r="AD425" t="s">
        <v>1152</v>
      </c>
      <c r="AE425" t="s">
        <v>712</v>
      </c>
      <c r="AF425" t="s">
        <v>1152</v>
      </c>
      <c r="AG425" t="s">
        <v>1866</v>
      </c>
    </row>
    <row r="426" spans="28:33">
      <c r="AB426">
        <v>64151</v>
      </c>
      <c r="AC426" t="s">
        <v>310</v>
      </c>
      <c r="AD426" t="s">
        <v>1152</v>
      </c>
      <c r="AE426" t="s">
        <v>712</v>
      </c>
      <c r="AF426" t="s">
        <v>1152</v>
      </c>
      <c r="AG426" t="s">
        <v>1866</v>
      </c>
    </row>
    <row r="427" spans="28:33">
      <c r="AB427">
        <v>64168</v>
      </c>
      <c r="AC427" t="s">
        <v>310</v>
      </c>
      <c r="AD427" t="s">
        <v>1152</v>
      </c>
      <c r="AE427" t="s">
        <v>712</v>
      </c>
      <c r="AF427" t="s">
        <v>1152</v>
      </c>
      <c r="AG427" t="s">
        <v>1866</v>
      </c>
    </row>
    <row r="428" spans="28:33">
      <c r="AB428">
        <v>65230</v>
      </c>
      <c r="AC428" t="s">
        <v>651</v>
      </c>
      <c r="AD428" t="s">
        <v>1866</v>
      </c>
      <c r="AE428" t="s">
        <v>644</v>
      </c>
      <c r="AF428" t="s">
        <v>1866</v>
      </c>
      <c r="AG428" t="s">
        <v>336</v>
      </c>
    </row>
    <row r="429" spans="28:33">
      <c r="AB429">
        <v>64459</v>
      </c>
      <c r="AC429" t="s">
        <v>2159</v>
      </c>
      <c r="AD429" t="s">
        <v>1866</v>
      </c>
      <c r="AE429" t="s">
        <v>335</v>
      </c>
      <c r="AF429" t="s">
        <v>1866</v>
      </c>
      <c r="AG429" t="s">
        <v>336</v>
      </c>
    </row>
    <row r="430" spans="28:33">
      <c r="AB430">
        <v>64482</v>
      </c>
      <c r="AC430" t="s">
        <v>356</v>
      </c>
      <c r="AD430" t="s">
        <v>1866</v>
      </c>
      <c r="AE430" t="s">
        <v>352</v>
      </c>
      <c r="AF430" t="s">
        <v>1866</v>
      </c>
      <c r="AG430" t="s">
        <v>336</v>
      </c>
    </row>
    <row r="431" spans="28:33">
      <c r="AB431">
        <v>64780</v>
      </c>
      <c r="AC431" t="s">
        <v>397</v>
      </c>
      <c r="AD431" t="s">
        <v>1866</v>
      </c>
      <c r="AE431" t="s">
        <v>380</v>
      </c>
      <c r="AF431" t="s">
        <v>1866</v>
      </c>
      <c r="AG431" t="s">
        <v>336</v>
      </c>
    </row>
    <row r="432" spans="28:33">
      <c r="AB432">
        <v>64781</v>
      </c>
      <c r="AC432" t="s">
        <v>678</v>
      </c>
      <c r="AD432" t="s">
        <v>1866</v>
      </c>
      <c r="AE432" t="s">
        <v>714</v>
      </c>
      <c r="AF432" t="s">
        <v>1866</v>
      </c>
      <c r="AG432" t="s">
        <v>336</v>
      </c>
    </row>
    <row r="433" spans="28:33">
      <c r="AB433">
        <v>64483</v>
      </c>
      <c r="AC433" t="s">
        <v>348</v>
      </c>
      <c r="AD433" t="s">
        <v>1866</v>
      </c>
      <c r="AE433" t="s">
        <v>335</v>
      </c>
      <c r="AF433" t="s">
        <v>1866</v>
      </c>
      <c r="AG433" t="s">
        <v>336</v>
      </c>
    </row>
    <row r="434" spans="28:33">
      <c r="AB434">
        <v>64676</v>
      </c>
      <c r="AC434" t="s">
        <v>514</v>
      </c>
      <c r="AD434" t="s">
        <v>1866</v>
      </c>
      <c r="AE434" t="s">
        <v>501</v>
      </c>
      <c r="AF434" t="s">
        <v>1866</v>
      </c>
      <c r="AG434" t="s">
        <v>336</v>
      </c>
    </row>
    <row r="435" spans="28:33">
      <c r="AB435">
        <v>65243</v>
      </c>
      <c r="AC435" t="s">
        <v>679</v>
      </c>
      <c r="AD435" t="s">
        <v>1866</v>
      </c>
      <c r="AE435" t="s">
        <v>542</v>
      </c>
      <c r="AF435" t="s">
        <v>1866</v>
      </c>
      <c r="AG435" t="s">
        <v>336</v>
      </c>
    </row>
    <row r="436" spans="28:33">
      <c r="AB436">
        <v>64484</v>
      </c>
      <c r="AC436" t="s">
        <v>439</v>
      </c>
      <c r="AD436" t="s">
        <v>1866</v>
      </c>
      <c r="AE436" t="s">
        <v>431</v>
      </c>
      <c r="AF436" t="s">
        <v>1866</v>
      </c>
      <c r="AG436" t="s">
        <v>336</v>
      </c>
    </row>
    <row r="437" spans="28:33">
      <c r="AB437">
        <v>65326</v>
      </c>
      <c r="AC437" t="s">
        <v>423</v>
      </c>
      <c r="AD437" t="s">
        <v>1866</v>
      </c>
      <c r="AE437" t="s">
        <v>403</v>
      </c>
      <c r="AF437" t="s">
        <v>1866</v>
      </c>
      <c r="AG437" t="s">
        <v>336</v>
      </c>
    </row>
    <row r="438" spans="28:33">
      <c r="AB438">
        <v>64501</v>
      </c>
      <c r="AC438" t="s">
        <v>441</v>
      </c>
      <c r="AD438" t="s">
        <v>1866</v>
      </c>
      <c r="AE438" t="s">
        <v>431</v>
      </c>
      <c r="AF438" t="s">
        <v>1866</v>
      </c>
      <c r="AG438" t="s">
        <v>336</v>
      </c>
    </row>
    <row r="439" spans="28:33">
      <c r="AB439">
        <v>64502</v>
      </c>
      <c r="AC439" t="s">
        <v>441</v>
      </c>
      <c r="AD439" t="s">
        <v>1866</v>
      </c>
      <c r="AE439" t="s">
        <v>431</v>
      </c>
      <c r="AF439" t="s">
        <v>1866</v>
      </c>
      <c r="AG439" t="s">
        <v>336</v>
      </c>
    </row>
    <row r="440" spans="28:33">
      <c r="AB440">
        <v>64503</v>
      </c>
      <c r="AC440" t="s">
        <v>441</v>
      </c>
      <c r="AD440" t="s">
        <v>1866</v>
      </c>
      <c r="AE440" t="s">
        <v>431</v>
      </c>
      <c r="AF440" t="s">
        <v>1866</v>
      </c>
      <c r="AG440" t="s">
        <v>336</v>
      </c>
    </row>
    <row r="441" spans="28:33">
      <c r="AB441">
        <v>64504</v>
      </c>
      <c r="AC441" t="s">
        <v>441</v>
      </c>
      <c r="AD441" t="s">
        <v>1866</v>
      </c>
      <c r="AE441" t="s">
        <v>431</v>
      </c>
      <c r="AF441" t="s">
        <v>1866</v>
      </c>
      <c r="AG441" t="s">
        <v>336</v>
      </c>
    </row>
    <row r="442" spans="28:33">
      <c r="AB442">
        <v>64505</v>
      </c>
      <c r="AC442" t="s">
        <v>441</v>
      </c>
      <c r="AD442" t="s">
        <v>1866</v>
      </c>
      <c r="AE442" t="s">
        <v>431</v>
      </c>
      <c r="AF442" t="s">
        <v>1866</v>
      </c>
      <c r="AG442" t="s">
        <v>336</v>
      </c>
    </row>
    <row r="443" spans="28:33">
      <c r="AB443">
        <v>64506</v>
      </c>
      <c r="AC443" t="s">
        <v>441</v>
      </c>
      <c r="AD443" t="s">
        <v>1866</v>
      </c>
      <c r="AE443" t="s">
        <v>431</v>
      </c>
      <c r="AF443" t="s">
        <v>1866</v>
      </c>
      <c r="AG443" t="s">
        <v>336</v>
      </c>
    </row>
    <row r="444" spans="28:33">
      <c r="AB444">
        <v>64507</v>
      </c>
      <c r="AC444" t="s">
        <v>441</v>
      </c>
      <c r="AD444" t="s">
        <v>1866</v>
      </c>
      <c r="AE444" t="s">
        <v>431</v>
      </c>
      <c r="AF444" t="s">
        <v>1866</v>
      </c>
      <c r="AG444" t="s">
        <v>336</v>
      </c>
    </row>
    <row r="445" spans="28:33">
      <c r="AB445">
        <v>64508</v>
      </c>
      <c r="AC445" t="s">
        <v>441</v>
      </c>
      <c r="AD445" t="s">
        <v>1866</v>
      </c>
      <c r="AE445" t="s">
        <v>431</v>
      </c>
      <c r="AF445" t="s">
        <v>1866</v>
      </c>
      <c r="AG445" t="s">
        <v>336</v>
      </c>
    </row>
    <row r="446" spans="28:33">
      <c r="AB446">
        <v>65349</v>
      </c>
      <c r="AC446" t="s">
        <v>680</v>
      </c>
      <c r="AD446" t="s">
        <v>1866</v>
      </c>
      <c r="AE446" t="s">
        <v>715</v>
      </c>
      <c r="AF446" t="s">
        <v>1866</v>
      </c>
      <c r="AG446" t="s">
        <v>336</v>
      </c>
    </row>
    <row r="447" spans="28:33">
      <c r="AB447">
        <v>65281</v>
      </c>
      <c r="AC447" t="s">
        <v>516</v>
      </c>
      <c r="AD447" t="s">
        <v>1866</v>
      </c>
      <c r="AE447" t="s">
        <v>501</v>
      </c>
      <c r="AF447" t="s">
        <v>1866</v>
      </c>
      <c r="AG447" t="s">
        <v>336</v>
      </c>
    </row>
    <row r="448" spans="28:33">
      <c r="AB448">
        <v>65351</v>
      </c>
      <c r="AC448" t="s">
        <v>681</v>
      </c>
      <c r="AD448" t="s">
        <v>1866</v>
      </c>
      <c r="AE448" t="s">
        <v>715</v>
      </c>
      <c r="AF448" t="s">
        <v>1866</v>
      </c>
      <c r="AG448" t="s">
        <v>336</v>
      </c>
    </row>
    <row r="449" spans="28:33">
      <c r="AB449">
        <v>64485</v>
      </c>
      <c r="AC449" t="s">
        <v>349</v>
      </c>
      <c r="AD449" t="s">
        <v>1866</v>
      </c>
      <c r="AE449" t="s">
        <v>335</v>
      </c>
      <c r="AF449" t="s">
        <v>1866</v>
      </c>
      <c r="AG449" t="s">
        <v>336</v>
      </c>
    </row>
    <row r="450" spans="28:33">
      <c r="AB450">
        <v>64783</v>
      </c>
      <c r="AC450" t="s">
        <v>682</v>
      </c>
      <c r="AD450" t="s">
        <v>1866</v>
      </c>
      <c r="AE450" t="s">
        <v>716</v>
      </c>
      <c r="AF450" t="s">
        <v>1866</v>
      </c>
      <c r="AG450" t="s">
        <v>336</v>
      </c>
    </row>
    <row r="451" spans="28:33">
      <c r="AB451">
        <v>65301</v>
      </c>
      <c r="AC451" t="s">
        <v>308</v>
      </c>
      <c r="AD451" t="s">
        <v>1866</v>
      </c>
      <c r="AE451" t="s">
        <v>711</v>
      </c>
      <c r="AF451" t="s">
        <v>1866</v>
      </c>
      <c r="AG451" t="s">
        <v>336</v>
      </c>
    </row>
    <row r="452" spans="28:33">
      <c r="AB452">
        <v>65302</v>
      </c>
      <c r="AC452" t="s">
        <v>308</v>
      </c>
      <c r="AD452" t="s">
        <v>1866</v>
      </c>
      <c r="AE452" t="s">
        <v>711</v>
      </c>
      <c r="AF452" t="s">
        <v>1866</v>
      </c>
      <c r="AG452" t="s">
        <v>336</v>
      </c>
    </row>
    <row r="453" spans="28:33">
      <c r="AB453">
        <v>65349</v>
      </c>
      <c r="AC453" t="s">
        <v>683</v>
      </c>
      <c r="AD453" t="s">
        <v>1866</v>
      </c>
      <c r="AE453" t="s">
        <v>715</v>
      </c>
      <c r="AF453" t="s">
        <v>1866</v>
      </c>
      <c r="AG453" t="s">
        <v>336</v>
      </c>
    </row>
    <row r="454" spans="28:33">
      <c r="AB454">
        <v>64784</v>
      </c>
      <c r="AC454" t="s">
        <v>684</v>
      </c>
      <c r="AD454" t="s">
        <v>1866</v>
      </c>
      <c r="AE454" t="s">
        <v>716</v>
      </c>
      <c r="AF454" t="s">
        <v>1866</v>
      </c>
      <c r="AG454" t="s">
        <v>336</v>
      </c>
    </row>
    <row r="455" spans="28:33">
      <c r="AB455">
        <v>64486</v>
      </c>
      <c r="AC455" t="s">
        <v>685</v>
      </c>
      <c r="AD455" t="s">
        <v>1866</v>
      </c>
      <c r="AE455" t="s">
        <v>708</v>
      </c>
      <c r="AF455" t="s">
        <v>1866</v>
      </c>
      <c r="AG455" t="s">
        <v>336</v>
      </c>
    </row>
    <row r="456" spans="28:33">
      <c r="AB456">
        <v>64088</v>
      </c>
      <c r="AC456" t="s">
        <v>665</v>
      </c>
      <c r="AD456" t="s">
        <v>1866</v>
      </c>
      <c r="AE456" t="s">
        <v>653</v>
      </c>
      <c r="AF456" t="s">
        <v>302</v>
      </c>
      <c r="AG456" t="s">
        <v>336</v>
      </c>
    </row>
    <row r="457" spans="28:33">
      <c r="AB457">
        <v>64487</v>
      </c>
      <c r="AC457" t="s">
        <v>686</v>
      </c>
      <c r="AD457" t="s">
        <v>1866</v>
      </c>
      <c r="AE457" t="s">
        <v>710</v>
      </c>
      <c r="AF457" t="s">
        <v>1866</v>
      </c>
      <c r="AG457" t="s">
        <v>336</v>
      </c>
    </row>
    <row r="458" spans="28:33">
      <c r="AB458">
        <v>65349</v>
      </c>
      <c r="AC458" t="s">
        <v>687</v>
      </c>
      <c r="AD458" t="s">
        <v>1866</v>
      </c>
      <c r="AE458" t="s">
        <v>715</v>
      </c>
      <c r="AF458" t="s">
        <v>1866</v>
      </c>
      <c r="AG458" t="s">
        <v>336</v>
      </c>
    </row>
    <row r="459" spans="28:33">
      <c r="AB459">
        <v>65350</v>
      </c>
      <c r="AC459" t="s">
        <v>688</v>
      </c>
      <c r="AD459" t="s">
        <v>1866</v>
      </c>
      <c r="AE459" t="s">
        <v>711</v>
      </c>
      <c r="AF459" t="s">
        <v>1866</v>
      </c>
      <c r="AG459" t="s">
        <v>336</v>
      </c>
    </row>
    <row r="460" spans="28:33">
      <c r="AB460">
        <v>64089</v>
      </c>
      <c r="AC460" t="s">
        <v>313</v>
      </c>
      <c r="AD460" t="s">
        <v>1152</v>
      </c>
      <c r="AE460" t="s">
        <v>523</v>
      </c>
      <c r="AF460" t="s">
        <v>1866</v>
      </c>
      <c r="AG460" t="s">
        <v>1866</v>
      </c>
    </row>
    <row r="461" spans="28:33">
      <c r="AB461">
        <v>65286</v>
      </c>
      <c r="AC461" t="s">
        <v>518</v>
      </c>
      <c r="AD461" t="s">
        <v>1866</v>
      </c>
      <c r="AE461" t="s">
        <v>501</v>
      </c>
      <c r="AF461" t="s">
        <v>1866</v>
      </c>
      <c r="AG461" t="s">
        <v>336</v>
      </c>
    </row>
    <row r="462" spans="28:33">
      <c r="AB462">
        <v>65752</v>
      </c>
      <c r="AC462" t="s">
        <v>581</v>
      </c>
      <c r="AD462" t="s">
        <v>1866</v>
      </c>
      <c r="AE462" t="s">
        <v>575</v>
      </c>
      <c r="AF462" t="s">
        <v>1866</v>
      </c>
      <c r="AG462" t="s">
        <v>336</v>
      </c>
    </row>
    <row r="463" spans="28:33">
      <c r="AB463">
        <v>64679</v>
      </c>
      <c r="AC463" t="s">
        <v>612</v>
      </c>
      <c r="AD463" t="s">
        <v>1866</v>
      </c>
      <c r="AE463" t="s">
        <v>611</v>
      </c>
      <c r="AF463" t="s">
        <v>1866</v>
      </c>
      <c r="AG463" t="s">
        <v>336</v>
      </c>
    </row>
    <row r="464" spans="28:33">
      <c r="AB464">
        <v>65301</v>
      </c>
      <c r="AC464" t="s">
        <v>689</v>
      </c>
      <c r="AD464" t="s">
        <v>1866</v>
      </c>
      <c r="AE464" t="s">
        <v>711</v>
      </c>
      <c r="AF464" t="s">
        <v>1866</v>
      </c>
      <c r="AG464" t="s">
        <v>336</v>
      </c>
    </row>
    <row r="465" spans="28:33">
      <c r="AB465">
        <v>64489</v>
      </c>
      <c r="AC465" t="s">
        <v>609</v>
      </c>
      <c r="AD465" t="s">
        <v>1866</v>
      </c>
      <c r="AE465" t="s">
        <v>543</v>
      </c>
      <c r="AF465" t="s">
        <v>1866</v>
      </c>
      <c r="AG465" t="s">
        <v>336</v>
      </c>
    </row>
    <row r="466" spans="28:33">
      <c r="AB466">
        <v>64680</v>
      </c>
      <c r="AC466" t="s">
        <v>463</v>
      </c>
      <c r="AD466" t="s">
        <v>1866</v>
      </c>
      <c r="AE466" t="s">
        <v>453</v>
      </c>
      <c r="AF466" t="s">
        <v>1866</v>
      </c>
      <c r="AG466" t="s">
        <v>336</v>
      </c>
    </row>
    <row r="467" spans="28:33">
      <c r="AB467">
        <v>64490</v>
      </c>
      <c r="AC467" t="s">
        <v>597</v>
      </c>
      <c r="AD467" t="s">
        <v>1866</v>
      </c>
      <c r="AE467" t="s">
        <v>592</v>
      </c>
      <c r="AF467" t="s">
        <v>1866</v>
      </c>
      <c r="AG467" t="s">
        <v>336</v>
      </c>
    </row>
    <row r="468" spans="28:33">
      <c r="AB468">
        <v>65785</v>
      </c>
      <c r="AC468" t="s">
        <v>500</v>
      </c>
      <c r="AD468" t="s">
        <v>1866</v>
      </c>
      <c r="AE468" t="s">
        <v>495</v>
      </c>
      <c r="AF468" t="s">
        <v>1866</v>
      </c>
      <c r="AG468" t="s">
        <v>336</v>
      </c>
    </row>
    <row r="469" spans="28:33">
      <c r="AB469">
        <v>64752</v>
      </c>
      <c r="AC469" t="s">
        <v>399</v>
      </c>
      <c r="AD469" t="s">
        <v>1866</v>
      </c>
      <c r="AE469" t="s">
        <v>380</v>
      </c>
      <c r="AF469" t="s">
        <v>1866</v>
      </c>
      <c r="AG469" t="s">
        <v>336</v>
      </c>
    </row>
    <row r="470" spans="28:33">
      <c r="AB470">
        <v>64090</v>
      </c>
      <c r="AC470" t="s">
        <v>491</v>
      </c>
      <c r="AD470" t="s">
        <v>1866</v>
      </c>
      <c r="AE470" t="s">
        <v>468</v>
      </c>
      <c r="AF470" t="s">
        <v>1866</v>
      </c>
      <c r="AG470" t="s">
        <v>336</v>
      </c>
    </row>
    <row r="471" spans="28:33">
      <c r="AB471">
        <v>64054</v>
      </c>
      <c r="AC471" t="s">
        <v>666</v>
      </c>
      <c r="AD471" t="s">
        <v>304</v>
      </c>
      <c r="AE471" t="s">
        <v>653</v>
      </c>
      <c r="AF471" t="s">
        <v>302</v>
      </c>
      <c r="AG471" t="s">
        <v>1866</v>
      </c>
    </row>
    <row r="472" spans="28:33">
      <c r="AB472">
        <v>64681</v>
      </c>
      <c r="AC472" t="s">
        <v>520</v>
      </c>
      <c r="AD472" t="s">
        <v>1866</v>
      </c>
      <c r="AE472" t="s">
        <v>501</v>
      </c>
      <c r="AF472" t="s">
        <v>1866</v>
      </c>
      <c r="AG472" t="s">
        <v>336</v>
      </c>
    </row>
    <row r="473" spans="28:33">
      <c r="AB473">
        <v>65351</v>
      </c>
      <c r="AC473" t="s">
        <v>690</v>
      </c>
      <c r="AD473" t="s">
        <v>1866</v>
      </c>
      <c r="AE473" t="s">
        <v>715</v>
      </c>
      <c r="AF473" t="s">
        <v>1866</v>
      </c>
      <c r="AG473" t="s">
        <v>336</v>
      </c>
    </row>
    <row r="474" spans="28:33">
      <c r="AB474">
        <v>64780</v>
      </c>
      <c r="AC474" t="s">
        <v>400</v>
      </c>
      <c r="AD474" t="s">
        <v>1866</v>
      </c>
      <c r="AE474" t="s">
        <v>380</v>
      </c>
      <c r="AF474" t="s">
        <v>1866</v>
      </c>
      <c r="AG474" t="s">
        <v>336</v>
      </c>
    </row>
    <row r="475" spans="28:33">
      <c r="AB475">
        <v>64448</v>
      </c>
      <c r="AC475" t="s">
        <v>450</v>
      </c>
      <c r="AD475" t="s">
        <v>1866</v>
      </c>
      <c r="AE475" t="s">
        <v>431</v>
      </c>
      <c r="AF475" t="s">
        <v>1866</v>
      </c>
      <c r="AG475" t="s">
        <v>336</v>
      </c>
    </row>
    <row r="476" spans="28:33">
      <c r="AB476">
        <v>64491</v>
      </c>
      <c r="AC476" t="s">
        <v>358</v>
      </c>
      <c r="AD476" t="s">
        <v>1866</v>
      </c>
      <c r="AE476" t="s">
        <v>352</v>
      </c>
      <c r="AF476" t="s">
        <v>1866</v>
      </c>
      <c r="AG476" t="s">
        <v>336</v>
      </c>
    </row>
    <row r="477" spans="28:33">
      <c r="AB477">
        <v>65244</v>
      </c>
      <c r="AC477" t="s">
        <v>691</v>
      </c>
      <c r="AD477" t="s">
        <v>1866</v>
      </c>
      <c r="AE477" t="s">
        <v>542</v>
      </c>
      <c r="AF477" t="s">
        <v>1866</v>
      </c>
      <c r="AG477" t="s">
        <v>336</v>
      </c>
    </row>
    <row r="478" spans="28:33">
      <c r="AB478">
        <v>64735</v>
      </c>
      <c r="AC478" t="s">
        <v>634</v>
      </c>
      <c r="AD478" t="s">
        <v>1866</v>
      </c>
      <c r="AE478" t="s">
        <v>625</v>
      </c>
      <c r="AF478" t="s">
        <v>1866</v>
      </c>
      <c r="AG478" t="s">
        <v>336</v>
      </c>
    </row>
    <row r="479" spans="28:33">
      <c r="AB479">
        <v>64682</v>
      </c>
      <c r="AC479" t="s">
        <v>464</v>
      </c>
      <c r="AD479" t="s">
        <v>1866</v>
      </c>
      <c r="AE479" t="s">
        <v>453</v>
      </c>
      <c r="AF479" t="s">
        <v>1866</v>
      </c>
      <c r="AG479" t="s">
        <v>336</v>
      </c>
    </row>
    <row r="480" spans="28:33">
      <c r="AB480">
        <v>64079</v>
      </c>
      <c r="AC480" t="s">
        <v>693</v>
      </c>
      <c r="AD480" t="s">
        <v>1866</v>
      </c>
      <c r="AE480" t="s">
        <v>712</v>
      </c>
      <c r="AF480" t="s">
        <v>1152</v>
      </c>
      <c r="AG480" t="s">
        <v>1866</v>
      </c>
    </row>
    <row r="481" spans="28:33">
      <c r="AB481">
        <v>64683</v>
      </c>
      <c r="AC481" t="s">
        <v>613</v>
      </c>
      <c r="AD481" t="s">
        <v>1866</v>
      </c>
      <c r="AE481" t="s">
        <v>611</v>
      </c>
      <c r="AF481" t="s">
        <v>1866</v>
      </c>
      <c r="AG481" t="s">
        <v>336</v>
      </c>
    </row>
    <row r="482" spans="28:33">
      <c r="AB482">
        <v>64492</v>
      </c>
      <c r="AC482" t="s">
        <v>572</v>
      </c>
      <c r="AD482" t="s">
        <v>1866</v>
      </c>
      <c r="AE482" t="s">
        <v>448</v>
      </c>
      <c r="AF482" t="s">
        <v>1866</v>
      </c>
      <c r="AG482" t="s">
        <v>336</v>
      </c>
    </row>
    <row r="483" spans="28:33">
      <c r="AB483">
        <v>65286</v>
      </c>
      <c r="AC483" t="s">
        <v>522</v>
      </c>
      <c r="AD483" t="s">
        <v>1866</v>
      </c>
      <c r="AE483" t="s">
        <v>501</v>
      </c>
      <c r="AF483" t="s">
        <v>1866</v>
      </c>
      <c r="AG483" t="s">
        <v>336</v>
      </c>
    </row>
    <row r="484" spans="28:33">
      <c r="AB484">
        <v>64493</v>
      </c>
      <c r="AC484" t="s">
        <v>573</v>
      </c>
      <c r="AD484" t="s">
        <v>1866</v>
      </c>
      <c r="AE484" t="s">
        <v>448</v>
      </c>
      <c r="AF484" t="s">
        <v>1866</v>
      </c>
      <c r="AG484" t="s">
        <v>336</v>
      </c>
    </row>
    <row r="485" spans="28:33">
      <c r="AB485">
        <v>64494</v>
      </c>
      <c r="AC485" t="s">
        <v>599</v>
      </c>
      <c r="AD485" t="s">
        <v>1866</v>
      </c>
      <c r="AE485" t="s">
        <v>592</v>
      </c>
      <c r="AF485" t="s">
        <v>1866</v>
      </c>
      <c r="AG485" t="s">
        <v>336</v>
      </c>
    </row>
    <row r="486" spans="28:33">
      <c r="AB486">
        <v>64063</v>
      </c>
      <c r="AC486" t="s">
        <v>669</v>
      </c>
      <c r="AD486" t="s">
        <v>1866</v>
      </c>
      <c r="AE486" t="s">
        <v>653</v>
      </c>
      <c r="AF486" t="s">
        <v>302</v>
      </c>
      <c r="AG486" t="s">
        <v>336</v>
      </c>
    </row>
    <row r="487" spans="28:33">
      <c r="AB487">
        <v>64064</v>
      </c>
      <c r="AC487" t="s">
        <v>669</v>
      </c>
      <c r="AD487" t="s">
        <v>1866</v>
      </c>
      <c r="AE487" t="s">
        <v>653</v>
      </c>
      <c r="AF487" t="s">
        <v>302</v>
      </c>
      <c r="AG487" t="s">
        <v>336</v>
      </c>
    </row>
    <row r="488" spans="28:33">
      <c r="AB488">
        <v>64065</v>
      </c>
      <c r="AC488" t="s">
        <v>669</v>
      </c>
      <c r="AD488" t="s">
        <v>1866</v>
      </c>
      <c r="AE488" t="s">
        <v>653</v>
      </c>
      <c r="AF488" t="s">
        <v>302</v>
      </c>
      <c r="AG488" t="s">
        <v>336</v>
      </c>
    </row>
    <row r="489" spans="28:33">
      <c r="AB489">
        <v>65270</v>
      </c>
      <c r="AC489" t="s">
        <v>695</v>
      </c>
      <c r="AD489" t="s">
        <v>1866</v>
      </c>
      <c r="AE489" t="s">
        <v>542</v>
      </c>
      <c r="AF489" t="s">
        <v>1866</v>
      </c>
      <c r="AG489" t="s">
        <v>336</v>
      </c>
    </row>
    <row r="490" spans="28:33">
      <c r="AB490">
        <v>64788</v>
      </c>
      <c r="AC490" t="s">
        <v>636</v>
      </c>
      <c r="AD490" t="s">
        <v>1866</v>
      </c>
      <c r="AE490" t="s">
        <v>625</v>
      </c>
      <c r="AF490" t="s">
        <v>1866</v>
      </c>
      <c r="AG490" t="s">
        <v>336</v>
      </c>
    </row>
    <row r="491" spans="28:33">
      <c r="AB491">
        <v>64686</v>
      </c>
      <c r="AC491" t="s">
        <v>697</v>
      </c>
      <c r="AD491" t="s">
        <v>1866</v>
      </c>
      <c r="AE491" t="s">
        <v>706</v>
      </c>
      <c r="AF491" t="s">
        <v>1866</v>
      </c>
      <c r="AG491" t="s">
        <v>336</v>
      </c>
    </row>
    <row r="492" spans="28:33">
      <c r="AB492">
        <v>65336</v>
      </c>
      <c r="AC492" t="s">
        <v>694</v>
      </c>
      <c r="AD492" t="s">
        <v>1866</v>
      </c>
      <c r="AE492" t="s">
        <v>692</v>
      </c>
      <c r="AF492" t="s">
        <v>1866</v>
      </c>
      <c r="AG492" t="s">
        <v>336</v>
      </c>
    </row>
    <row r="493" spans="28:33">
      <c r="AB493">
        <v>64118</v>
      </c>
      <c r="AC493" t="s">
        <v>562</v>
      </c>
      <c r="AD493" t="s">
        <v>1866</v>
      </c>
      <c r="AE493" t="s">
        <v>523</v>
      </c>
      <c r="AF493" t="s">
        <v>1866</v>
      </c>
      <c r="AG493" t="s">
        <v>336</v>
      </c>
    </row>
    <row r="494" spans="28:33">
      <c r="AB494">
        <v>64789</v>
      </c>
      <c r="AC494" t="s">
        <v>699</v>
      </c>
      <c r="AD494" t="s">
        <v>1866</v>
      </c>
      <c r="AE494" t="s">
        <v>714</v>
      </c>
      <c r="AF494" t="s">
        <v>1866</v>
      </c>
      <c r="AG494" t="s">
        <v>336</v>
      </c>
    </row>
    <row r="495" spans="28:33">
      <c r="AB495">
        <v>64687</v>
      </c>
      <c r="AC495" t="s">
        <v>466</v>
      </c>
      <c r="AD495" t="s">
        <v>1866</v>
      </c>
      <c r="AE495" t="s">
        <v>453</v>
      </c>
      <c r="AF495" t="s">
        <v>1866</v>
      </c>
      <c r="AG495" t="s">
        <v>336</v>
      </c>
    </row>
    <row r="496" spans="28:33">
      <c r="AB496">
        <v>64092</v>
      </c>
      <c r="AC496" t="s">
        <v>700</v>
      </c>
      <c r="AD496" t="s">
        <v>1866</v>
      </c>
      <c r="AE496" t="s">
        <v>712</v>
      </c>
      <c r="AF496" t="s">
        <v>1152</v>
      </c>
      <c r="AG496" t="s">
        <v>1866</v>
      </c>
    </row>
    <row r="497" spans="28:33">
      <c r="AB497">
        <v>64790</v>
      </c>
      <c r="AC497" t="s">
        <v>701</v>
      </c>
      <c r="AD497" t="s">
        <v>1866</v>
      </c>
      <c r="AE497" t="s">
        <v>716</v>
      </c>
      <c r="AF497" t="s">
        <v>1866</v>
      </c>
      <c r="AG497" t="s">
        <v>336</v>
      </c>
    </row>
    <row r="498" spans="28:33">
      <c r="AB498">
        <v>64093</v>
      </c>
      <c r="AC498" t="s">
        <v>314</v>
      </c>
      <c r="AD498" t="s">
        <v>1152</v>
      </c>
      <c r="AE498" t="s">
        <v>692</v>
      </c>
      <c r="AF498" t="s">
        <v>1866</v>
      </c>
      <c r="AG498" t="s">
        <v>1866</v>
      </c>
    </row>
    <row r="499" spans="28:33">
      <c r="AB499">
        <v>65355</v>
      </c>
      <c r="AC499" t="s">
        <v>425</v>
      </c>
      <c r="AD499" t="s">
        <v>1866</v>
      </c>
      <c r="AE499" t="s">
        <v>403</v>
      </c>
      <c r="AF499" t="s">
        <v>1866</v>
      </c>
      <c r="AG499" t="s">
        <v>336</v>
      </c>
    </row>
    <row r="500" spans="28:33">
      <c r="AB500">
        <v>64496</v>
      </c>
      <c r="AC500" t="s">
        <v>360</v>
      </c>
      <c r="AD500" t="s">
        <v>1866</v>
      </c>
      <c r="AE500" t="s">
        <v>352</v>
      </c>
      <c r="AF500" t="s">
        <v>1866</v>
      </c>
      <c r="AG500" t="s">
        <v>336</v>
      </c>
    </row>
    <row r="501" spans="28:33">
      <c r="AB501">
        <v>64096</v>
      </c>
      <c r="AC501" t="s">
        <v>702</v>
      </c>
      <c r="AD501" t="s">
        <v>1866</v>
      </c>
      <c r="AE501" t="s">
        <v>698</v>
      </c>
      <c r="AF501" t="s">
        <v>1866</v>
      </c>
      <c r="AG501" t="s">
        <v>336</v>
      </c>
    </row>
    <row r="502" spans="28:33">
      <c r="AB502">
        <v>64497</v>
      </c>
      <c r="AC502" t="s">
        <v>601</v>
      </c>
      <c r="AD502" t="s">
        <v>302</v>
      </c>
      <c r="AE502" t="s">
        <v>592</v>
      </c>
      <c r="AF502" t="s">
        <v>1866</v>
      </c>
      <c r="AG502" t="s">
        <v>1866</v>
      </c>
    </row>
    <row r="503" spans="28:33">
      <c r="AB503">
        <v>64152</v>
      </c>
      <c r="AC503" t="s">
        <v>703</v>
      </c>
      <c r="AD503" t="s">
        <v>1866</v>
      </c>
      <c r="AE503" t="s">
        <v>712</v>
      </c>
      <c r="AF503" t="s">
        <v>1152</v>
      </c>
      <c r="AG503" t="s">
        <v>1866</v>
      </c>
    </row>
    <row r="504" spans="28:33">
      <c r="AB504">
        <v>64153</v>
      </c>
      <c r="AC504" t="s">
        <v>703</v>
      </c>
      <c r="AD504" t="s">
        <v>1866</v>
      </c>
      <c r="AE504" t="s">
        <v>712</v>
      </c>
      <c r="AF504" t="s">
        <v>1152</v>
      </c>
      <c r="AG504" t="s">
        <v>1866</v>
      </c>
    </row>
    <row r="505" spans="28:33">
      <c r="AB505">
        <v>64097</v>
      </c>
      <c r="AC505" t="s">
        <v>704</v>
      </c>
      <c r="AD505" t="s">
        <v>1866</v>
      </c>
      <c r="AE505" t="s">
        <v>698</v>
      </c>
      <c r="AF505" t="s">
        <v>1866</v>
      </c>
      <c r="AG505" t="s">
        <v>336</v>
      </c>
    </row>
    <row r="506" spans="28:33">
      <c r="AB506">
        <v>64734</v>
      </c>
      <c r="AC506" t="s">
        <v>493</v>
      </c>
      <c r="AD506" t="s">
        <v>1866</v>
      </c>
      <c r="AE506" t="s">
        <v>468</v>
      </c>
      <c r="AF506" t="s">
        <v>1866</v>
      </c>
      <c r="AG506" t="s">
        <v>336</v>
      </c>
    </row>
    <row r="507" spans="28:33">
      <c r="AB507">
        <v>64498</v>
      </c>
      <c r="AC507" t="s">
        <v>362</v>
      </c>
      <c r="AD507" t="s">
        <v>1866</v>
      </c>
      <c r="AE507" t="s">
        <v>352</v>
      </c>
      <c r="AF507" t="s">
        <v>1866</v>
      </c>
      <c r="AG507" t="s">
        <v>336</v>
      </c>
    </row>
    <row r="508" spans="28:33">
      <c r="AB508">
        <v>64098</v>
      </c>
      <c r="AC508" t="s">
        <v>705</v>
      </c>
      <c r="AD508" t="s">
        <v>302</v>
      </c>
      <c r="AE508" t="s">
        <v>712</v>
      </c>
      <c r="AF508" t="s">
        <v>1152</v>
      </c>
      <c r="AG508" t="s">
        <v>1866</v>
      </c>
    </row>
    <row r="509" spans="28:33">
      <c r="AB509">
        <v>64688</v>
      </c>
      <c r="AC509" t="s">
        <v>707</v>
      </c>
      <c r="AD509" t="s">
        <v>1866</v>
      </c>
      <c r="AE509" t="s">
        <v>706</v>
      </c>
      <c r="AF509" t="s">
        <v>1866</v>
      </c>
      <c r="AG509" t="s">
        <v>336</v>
      </c>
    </row>
    <row r="510" spans="28:33">
      <c r="AB510">
        <v>65355</v>
      </c>
      <c r="AC510" t="s">
        <v>427</v>
      </c>
      <c r="AD510" t="s">
        <v>1866</v>
      </c>
      <c r="AE510" t="s">
        <v>403</v>
      </c>
      <c r="AF510" t="s">
        <v>1866</v>
      </c>
      <c r="AG510" t="s">
        <v>336</v>
      </c>
    </row>
    <row r="511" spans="28:33">
      <c r="AB511">
        <v>65305</v>
      </c>
      <c r="AC511" t="s">
        <v>696</v>
      </c>
      <c r="AD511" t="s">
        <v>1866</v>
      </c>
      <c r="AE511" t="s">
        <v>692</v>
      </c>
      <c r="AF511" t="s">
        <v>1866</v>
      </c>
      <c r="AG511" t="s">
        <v>336</v>
      </c>
    </row>
    <row r="512" spans="28:33">
      <c r="AB512">
        <v>65360</v>
      </c>
      <c r="AC512" t="s">
        <v>638</v>
      </c>
      <c r="AD512" t="s">
        <v>1866</v>
      </c>
      <c r="AE512" t="s">
        <v>625</v>
      </c>
      <c r="AF512" t="s">
        <v>1866</v>
      </c>
      <c r="AG512" t="s">
        <v>336</v>
      </c>
    </row>
    <row r="513" spans="28:33">
      <c r="AB513">
        <v>64689</v>
      </c>
      <c r="AC513" t="s">
        <v>591</v>
      </c>
      <c r="AD513" t="s">
        <v>1866</v>
      </c>
      <c r="AE513" t="s">
        <v>583</v>
      </c>
      <c r="AF513" t="s">
        <v>1866</v>
      </c>
      <c r="AG513" t="s">
        <v>336</v>
      </c>
    </row>
    <row r="514" spans="28:33">
      <c r="AB514">
        <v>64484</v>
      </c>
      <c r="AC514" t="s">
        <v>452</v>
      </c>
      <c r="AD514" t="s">
        <v>1866</v>
      </c>
      <c r="AE514" t="s">
        <v>431</v>
      </c>
      <c r="AF514" t="s">
        <v>1866</v>
      </c>
      <c r="AG514" t="s">
        <v>336</v>
      </c>
    </row>
    <row r="515" spans="28:33">
      <c r="AB515">
        <v>65355</v>
      </c>
      <c r="AC515" t="s">
        <v>429</v>
      </c>
      <c r="AD515" t="s">
        <v>1866</v>
      </c>
      <c r="AE515" t="s">
        <v>403</v>
      </c>
      <c r="AF515" t="s">
        <v>1866</v>
      </c>
      <c r="AG515" t="s">
        <v>336</v>
      </c>
    </row>
    <row r="516" spans="28:33">
      <c r="AB516">
        <v>64024</v>
      </c>
      <c r="AC516" t="s">
        <v>565</v>
      </c>
      <c r="AD516" t="s">
        <v>1866</v>
      </c>
      <c r="AE516" t="s">
        <v>523</v>
      </c>
      <c r="AF516" t="s">
        <v>1866</v>
      </c>
      <c r="AG516" t="s">
        <v>336</v>
      </c>
    </row>
    <row r="517" spans="28:33">
      <c r="AB517">
        <v>64499</v>
      </c>
      <c r="AC517" t="s">
        <v>708</v>
      </c>
      <c r="AD517" t="s">
        <v>1866</v>
      </c>
      <c r="AE517" t="s">
        <v>708</v>
      </c>
      <c r="AF517" t="s">
        <v>1866</v>
      </c>
      <c r="AG517" t="s">
        <v>336</v>
      </c>
    </row>
    <row r="518" spans="28:33">
      <c r="AB518">
        <v>65257</v>
      </c>
      <c r="AC518" t="s">
        <v>709</v>
      </c>
      <c r="AD518" t="s">
        <v>1866</v>
      </c>
      <c r="AE518" t="s">
        <v>542</v>
      </c>
      <c r="AF518" t="s">
        <v>1866</v>
      </c>
      <c r="AG518" t="s">
        <v>336</v>
      </c>
    </row>
  </sheetData>
  <sheetProtection algorithmName="SHA-512" hashValue="6jQb0TLbwDFFnt7oTbjwY/SfG5StAx1hl1SL4nSBMtxD0uyLTn7zLB1C/4zaB+8rUw2DEkBj0FBbqaZPzhdcwA==" saltValue="yKtrGtICWTGl7YIWPAKnYw==" spinCount="100000" sheet="1" objects="1" scenarios="1"/>
  <mergeCells count="10">
    <mergeCell ref="J10:M10"/>
    <mergeCell ref="J14:M14"/>
    <mergeCell ref="J18:M18"/>
    <mergeCell ref="J22:M22"/>
    <mergeCell ref="AB10:AG10"/>
    <mergeCell ref="AK11:AS11"/>
    <mergeCell ref="AL12:AO12"/>
    <mergeCell ref="AP12:AS12"/>
    <mergeCell ref="AK40:AM40"/>
    <mergeCell ref="AO40:AQ40"/>
  </mergeCells>
  <phoneticPr fontId="135" type="noConversion"/>
  <conditionalFormatting sqref="U12:V28 Y12:Z28">
    <cfRule type="containsBlanks" dxfId="162" priority="7">
      <formula>LEN(TRIM(U12))=0</formula>
    </cfRule>
  </conditionalFormatting>
  <conditionalFormatting sqref="X12:X28">
    <cfRule type="containsBlanks" dxfId="161" priority="1">
      <formula>LEN(TRIM(X12))=0</formula>
    </cfRule>
  </conditionalFormatting>
  <hyperlinks>
    <hyperlink ref="H12" r:id="rId1" xr:uid="{6ABF3701-9785-4D30-B95F-AA6FC0661578}"/>
    <hyperlink ref="H13" r:id="rId2" xr:uid="{ED5B0160-A5A5-4450-90DD-BB9228E3BBC9}"/>
  </hyperlinks>
  <pageMargins left="0" right="0" top="0" bottom="0" header="0" footer="0"/>
  <pageSetup orientation="portrait" r:id="rId3"/>
  <tableParts count="39">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65048-232B-4DFD-B9D1-F547BC88DCCC}">
  <sheetPr codeName="Sheet84">
    <tabColor theme="9" tint="0.59999389629810485"/>
    <pageSetUpPr fitToPage="1"/>
  </sheetPr>
  <dimension ref="A1:BS204"/>
  <sheetViews>
    <sheetView showGridLines="0" showRowColHeaders="0" zoomScale="85" zoomScaleNormal="85" workbookViewId="0">
      <selection activeCell="C18" sqref="C18:K19"/>
    </sheetView>
  </sheetViews>
  <sheetFormatPr defaultColWidth="0" defaultRowHeight="15" customHeight="1" zeroHeight="1"/>
  <cols>
    <col min="1" max="49" width="4.7109375" customWidth="1"/>
    <col min="50" max="50" width="4.7109375" hidden="1"/>
    <col min="51" max="68" width="9.7109375" hidden="1"/>
    <col min="69" max="69" width="10" hidden="1"/>
    <col min="70" max="70" width="11.5703125" hidden="1"/>
    <col min="71" max="71" width="9.5703125" hidden="1"/>
    <col min="72" max="16384" width="4.7109375" hidden="1"/>
  </cols>
  <sheetData>
    <row r="1" spans="1:71"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71"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71"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71" ht="15.95" customHeight="1">
      <c r="B4" s="199"/>
      <c r="C4" s="199"/>
      <c r="D4" s="199"/>
      <c r="E4" s="199"/>
    </row>
    <row r="5" spans="1:71" ht="15.95" customHeight="1">
      <c r="A5" s="667">
        <f>INCENTOTAL_N</f>
        <v>0</v>
      </c>
      <c r="B5" s="667"/>
      <c r="C5" s="667"/>
      <c r="D5" s="667"/>
      <c r="E5" s="667"/>
      <c r="AQ5" s="668">
        <f ca="1">PROGRESSSTATUS_N</f>
        <v>0</v>
      </c>
      <c r="AR5" s="668"/>
      <c r="AS5" s="668"/>
      <c r="AT5" s="668"/>
      <c r="AU5" s="668"/>
      <c r="AV5" s="557"/>
      <c r="AW5" s="557"/>
      <c r="AY5" s="21"/>
      <c r="AZ5" s="110" t="s">
        <v>844</v>
      </c>
      <c r="BA5" s="110" t="s">
        <v>198</v>
      </c>
      <c r="BB5" s="43"/>
      <c r="BC5" s="43"/>
    </row>
    <row r="6" spans="1:71" ht="15.95" customHeight="1">
      <c r="A6" s="667"/>
      <c r="B6" s="667"/>
      <c r="C6" s="667"/>
      <c r="D6" s="667"/>
      <c r="E6" s="667"/>
      <c r="AQ6" s="668"/>
      <c r="AR6" s="668"/>
      <c r="AS6" s="668"/>
      <c r="AT6" s="668"/>
      <c r="AU6" s="668"/>
      <c r="AV6" s="557"/>
      <c r="AW6" s="557"/>
      <c r="AY6" s="109" t="s">
        <v>26</v>
      </c>
      <c r="AZ6" s="108" t="str">
        <f>CBLIGHT_N</f>
        <v>NA</v>
      </c>
      <c r="BA6" s="176" t="str">
        <f>PAYLIGHT_N</f>
        <v>NA</v>
      </c>
      <c r="BB6" s="43"/>
      <c r="BC6" s="43"/>
    </row>
    <row r="7" spans="1:71" ht="15.95" customHeight="1">
      <c r="A7" s="665" t="s">
        <v>20</v>
      </c>
      <c r="B7" s="665"/>
      <c r="C7" s="665"/>
      <c r="D7" s="665"/>
      <c r="E7" s="665"/>
      <c r="AQ7" s="665" t="s">
        <v>179</v>
      </c>
      <c r="AR7" s="665"/>
      <c r="AS7" s="665"/>
      <c r="AT7" s="665"/>
      <c r="AU7" s="665"/>
      <c r="AV7" s="556"/>
      <c r="AW7" s="556"/>
      <c r="AY7" s="109" t="s">
        <v>50</v>
      </c>
      <c r="AZ7" s="108" t="str">
        <f>CBCUST_N</f>
        <v>NA</v>
      </c>
      <c r="BA7" s="176" t="str">
        <f>PAYCUST_N</f>
        <v>NA</v>
      </c>
      <c r="BB7" s="43"/>
      <c r="BC7" s="43"/>
    </row>
    <row r="8" spans="1:71" ht="15.95" customHeight="1" thickBot="1">
      <c r="A8" s="665"/>
      <c r="B8" s="665"/>
      <c r="C8" s="665"/>
      <c r="D8" s="665"/>
      <c r="E8" s="665"/>
      <c r="AQ8" s="674" t="str">
        <f ca="1">PROJSTATUS_N</f>
        <v>Enter Measures</v>
      </c>
      <c r="AR8" s="674"/>
      <c r="AS8" s="674"/>
      <c r="AT8" s="674"/>
      <c r="AU8" s="674"/>
      <c r="AV8" s="558"/>
      <c r="AW8" s="558"/>
      <c r="AY8" s="109" t="s">
        <v>273</v>
      </c>
      <c r="AZ8" s="108" t="str">
        <f>CBPROJ_N</f>
        <v>NA</v>
      </c>
      <c r="BA8" s="176" t="str">
        <f>PAYPROJ_N</f>
        <v>NA</v>
      </c>
      <c r="BB8" s="43"/>
      <c r="BC8" s="43"/>
    </row>
    <row r="9" spans="1:71" s="79" customFormat="1" ht="15.95" customHeight="1">
      <c r="A9" s="102"/>
      <c r="B9" s="102"/>
      <c r="C9" s="102"/>
      <c r="D9" s="102"/>
      <c r="E9" s="102"/>
      <c r="F9" s="102"/>
      <c r="G9" s="930" t="str">
        <f>N4S1</f>
        <v>HVAC</v>
      </c>
      <c r="H9" s="931"/>
      <c r="I9" s="931"/>
      <c r="J9" s="931"/>
      <c r="K9" s="930" t="str">
        <f>N4S2</f>
        <v>Motors and Drives</v>
      </c>
      <c r="L9" s="931"/>
      <c r="M9" s="931"/>
      <c r="N9" s="931"/>
      <c r="O9" s="930" t="str">
        <f>N4S3</f>
        <v>Compressed Air / Process</v>
      </c>
      <c r="P9" s="931"/>
      <c r="Q9" s="931"/>
      <c r="R9" s="931"/>
      <c r="S9" s="930" t="str">
        <f>N4S4</f>
        <v>Refrigeration</v>
      </c>
      <c r="T9" s="931"/>
      <c r="U9" s="931"/>
      <c r="V9" s="931"/>
      <c r="W9" s="925" t="str">
        <f>N4S5</f>
        <v>Water Heating / Food Services</v>
      </c>
      <c r="X9" s="925"/>
      <c r="Y9" s="925"/>
      <c r="Z9" s="925"/>
      <c r="AA9" s="930" t="str">
        <f>N4S6</f>
        <v>Miscellaneous</v>
      </c>
      <c r="AB9" s="931"/>
      <c r="AC9" s="931"/>
      <c r="AD9" s="931"/>
      <c r="AE9" s="101"/>
      <c r="AF9" s="101"/>
      <c r="AG9" s="101"/>
      <c r="AH9" s="101"/>
      <c r="AI9" s="101"/>
      <c r="AJ9" s="101"/>
      <c r="AK9" s="101"/>
      <c r="AL9" s="101"/>
      <c r="AM9" s="101"/>
      <c r="AN9" s="101"/>
      <c r="AO9" s="103"/>
      <c r="AP9" s="103"/>
      <c r="AQ9" s="103"/>
      <c r="AR9" s="103"/>
      <c r="AS9" s="103"/>
      <c r="AT9" s="103"/>
      <c r="AU9" s="103"/>
      <c r="AV9" s="103"/>
      <c r="AW9" s="103"/>
      <c r="AX9"/>
      <c r="AY9" s="107" t="s">
        <v>828</v>
      </c>
      <c r="AZ9" s="399" t="str">
        <f ca="1">NEWCONCODE</f>
        <v>IECC 2012</v>
      </c>
    </row>
    <row r="10" spans="1:71" s="79" customFormat="1" ht="15.95" customHeight="1">
      <c r="B10" s="80"/>
      <c r="C10" s="80"/>
      <c r="D10" s="80"/>
      <c r="F10"/>
      <c r="G10" s="932"/>
      <c r="H10" s="932"/>
      <c r="I10" s="932"/>
      <c r="J10" s="932"/>
      <c r="K10" s="932"/>
      <c r="L10" s="932"/>
      <c r="M10" s="932"/>
      <c r="N10" s="932"/>
      <c r="O10" s="932"/>
      <c r="P10" s="932"/>
      <c r="Q10" s="932"/>
      <c r="R10" s="932"/>
      <c r="S10" s="932"/>
      <c r="T10" s="932"/>
      <c r="U10" s="932"/>
      <c r="V10" s="932"/>
      <c r="W10" s="926"/>
      <c r="X10" s="926"/>
      <c r="Y10" s="926"/>
      <c r="Z10" s="926"/>
      <c r="AA10" s="932"/>
      <c r="AB10" s="932"/>
      <c r="AC10" s="932"/>
      <c r="AD10" s="932"/>
      <c r="AE10" s="80"/>
      <c r="AO10"/>
      <c r="AP10"/>
      <c r="AQ10" s="80"/>
      <c r="AR10" s="80"/>
      <c r="AX10"/>
    </row>
    <row r="11" spans="1:71" ht="15.95" customHeight="1">
      <c r="B11" s="97"/>
      <c r="C11" s="97"/>
      <c r="D11" s="97"/>
      <c r="G11" s="932"/>
      <c r="H11" s="932"/>
      <c r="I11" s="932"/>
      <c r="J11" s="932"/>
      <c r="K11" s="932"/>
      <c r="L11" s="932"/>
      <c r="M11" s="932"/>
      <c r="N11" s="932"/>
      <c r="O11" s="932"/>
      <c r="P11" s="932"/>
      <c r="Q11" s="932"/>
      <c r="R11" s="932"/>
      <c r="S11" s="932"/>
      <c r="T11" s="932"/>
      <c r="U11" s="932"/>
      <c r="V11" s="932"/>
      <c r="W11" s="926"/>
      <c r="X11" s="926"/>
      <c r="Y11" s="926"/>
      <c r="Z11" s="926"/>
      <c r="AA11" s="932"/>
      <c r="AB11" s="932"/>
      <c r="AC11" s="932"/>
      <c r="AD11" s="932"/>
      <c r="AE11" s="97"/>
      <c r="AQ11" s="97"/>
      <c r="AR11" s="97"/>
    </row>
    <row r="12" spans="1:71" ht="15.95" customHeight="1">
      <c r="A12" s="77"/>
      <c r="B12" s="77"/>
      <c r="C12" s="77"/>
      <c r="D12" s="77"/>
      <c r="E12" s="77"/>
      <c r="R12" s="789">
        <f>SUM(AN18:AQ184)</f>
        <v>0</v>
      </c>
      <c r="S12" s="789"/>
      <c r="T12" s="789"/>
      <c r="U12" s="789"/>
      <c r="V12" s="789">
        <f ca="1">SUMIF(AN18:AQ184,"&gt;0",AH18:AJ184)</f>
        <v>0</v>
      </c>
      <c r="W12" s="789"/>
      <c r="X12" s="789"/>
      <c r="Y12" s="789"/>
      <c r="Z12" s="790">
        <f ca="1">SUMIF(AN18:AQ184,"&gt;0",AK18:AM184)</f>
        <v>0</v>
      </c>
      <c r="AA12" s="790"/>
      <c r="AB12" s="790"/>
      <c r="AC12" s="790"/>
    </row>
    <row r="13" spans="1:71" ht="15.95" customHeight="1">
      <c r="A13" s="77"/>
      <c r="B13" s="77"/>
      <c r="R13" s="789"/>
      <c r="S13" s="789"/>
      <c r="T13" s="789"/>
      <c r="U13" s="789"/>
      <c r="V13" s="789"/>
      <c r="W13" s="789"/>
      <c r="X13" s="789"/>
      <c r="Y13" s="789"/>
      <c r="Z13" s="790"/>
      <c r="AA13" s="790"/>
      <c r="AB13" s="790"/>
      <c r="AC13" s="790"/>
      <c r="AI13" s="786" t="str">
        <f>IF(IFERROR(MATCH("100% Incremental Cost", BP:BP, 0), FALSE), "The incentive for one or more measures is capped due to measure cost.", "")</f>
        <v/>
      </c>
      <c r="AJ13" s="786"/>
      <c r="AK13" s="786"/>
      <c r="AL13" s="786"/>
      <c r="AM13" s="786"/>
      <c r="AN13" s="786"/>
      <c r="AO13" s="786"/>
      <c r="AP13" s="786"/>
      <c r="AQ13" s="786"/>
    </row>
    <row r="14" spans="1:71" ht="15.95" customHeight="1">
      <c r="R14" s="793" t="s">
        <v>1204</v>
      </c>
      <c r="S14" s="793"/>
      <c r="T14" s="793"/>
      <c r="U14" s="793"/>
      <c r="V14" s="793" t="s">
        <v>4</v>
      </c>
      <c r="W14" s="793"/>
      <c r="X14" s="793"/>
      <c r="Y14" s="793"/>
      <c r="Z14" s="793" t="s">
        <v>776</v>
      </c>
      <c r="AA14" s="793"/>
      <c r="AB14" s="793"/>
      <c r="AC14" s="793"/>
      <c r="AI14" s="786"/>
      <c r="AJ14" s="786"/>
      <c r="AK14" s="786"/>
      <c r="AL14" s="786"/>
      <c r="AM14" s="786"/>
      <c r="AN14" s="786"/>
      <c r="AO14" s="786"/>
      <c r="AP14" s="786"/>
      <c r="AQ14" s="786"/>
    </row>
    <row r="15" spans="1:71" ht="15.95" customHeight="1"/>
    <row r="16" spans="1:71" ht="15.95" customHeight="1">
      <c r="B16" s="21"/>
      <c r="C16" s="794" t="s">
        <v>811</v>
      </c>
      <c r="D16" s="794"/>
      <c r="E16" s="794"/>
      <c r="F16" s="794"/>
      <c r="G16" s="794"/>
      <c r="H16" s="794"/>
      <c r="I16" s="794"/>
      <c r="J16" s="794"/>
      <c r="K16" s="794"/>
      <c r="L16" s="794" t="s">
        <v>840</v>
      </c>
      <c r="M16" s="794"/>
      <c r="N16" s="794"/>
      <c r="O16" s="794"/>
      <c r="P16" s="794"/>
      <c r="Q16" s="794" t="s">
        <v>1971</v>
      </c>
      <c r="R16" s="794"/>
      <c r="S16" s="794"/>
      <c r="T16" s="794" t="s">
        <v>841</v>
      </c>
      <c r="U16" s="794"/>
      <c r="V16" s="794"/>
      <c r="W16" s="794"/>
      <c r="X16" s="794"/>
      <c r="Y16" s="794" t="s">
        <v>1972</v>
      </c>
      <c r="Z16" s="794"/>
      <c r="AA16" s="794"/>
      <c r="AB16" s="794" t="s">
        <v>1525</v>
      </c>
      <c r="AC16" s="794"/>
      <c r="AD16" s="794"/>
      <c r="AE16" s="794" t="s">
        <v>1526</v>
      </c>
      <c r="AF16" s="794"/>
      <c r="AG16" s="794"/>
      <c r="AH16" s="794" t="s">
        <v>832</v>
      </c>
      <c r="AI16" s="794"/>
      <c r="AJ16" s="794"/>
      <c r="AK16" s="794" t="s">
        <v>725</v>
      </c>
      <c r="AL16" s="794"/>
      <c r="AM16" s="794"/>
      <c r="AN16" s="794" t="s">
        <v>20</v>
      </c>
      <c r="AO16" s="794"/>
      <c r="AP16" s="794"/>
      <c r="AQ16" s="794"/>
      <c r="AY16" s="796" t="s">
        <v>48</v>
      </c>
      <c r="AZ16" s="796" t="s">
        <v>198</v>
      </c>
      <c r="BA16" s="796" t="s">
        <v>733</v>
      </c>
      <c r="BB16" s="796" t="s">
        <v>2039</v>
      </c>
      <c r="BC16" s="796" t="s">
        <v>850</v>
      </c>
      <c r="BD16" s="796" t="s">
        <v>300</v>
      </c>
      <c r="BE16" s="796" t="s">
        <v>822</v>
      </c>
      <c r="BF16" s="796" t="s">
        <v>25</v>
      </c>
      <c r="BG16" s="796" t="s">
        <v>836</v>
      </c>
      <c r="BH16" s="796" t="s">
        <v>838</v>
      </c>
      <c r="BI16" s="796" t="s">
        <v>1012</v>
      </c>
      <c r="BJ16" s="798" t="s">
        <v>1321</v>
      </c>
      <c r="BK16" s="798" t="s">
        <v>320</v>
      </c>
      <c r="BL16" s="796"/>
      <c r="BM16" s="796"/>
      <c r="BN16" s="796" t="s">
        <v>1240</v>
      </c>
      <c r="BO16" s="796" t="s">
        <v>22</v>
      </c>
      <c r="BP16" s="796" t="s">
        <v>837</v>
      </c>
      <c r="BQ16" s="796" t="s">
        <v>185</v>
      </c>
      <c r="BR16" s="798" t="s">
        <v>1324</v>
      </c>
      <c r="BS16" s="798" t="s">
        <v>1903</v>
      </c>
    </row>
    <row r="17" spans="1:71" ht="15.95" customHeight="1" thickBot="1">
      <c r="B17" s="21"/>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Y17" s="797"/>
      <c r="AZ17" s="797"/>
      <c r="BA17" s="797"/>
      <c r="BB17" s="797"/>
      <c r="BC17" s="797"/>
      <c r="BD17" s="797"/>
      <c r="BE17" s="797"/>
      <c r="BF17" s="797"/>
      <c r="BG17" s="797"/>
      <c r="BH17" s="797"/>
      <c r="BI17" s="797"/>
      <c r="BJ17" s="799"/>
      <c r="BK17" s="799"/>
      <c r="BL17" s="797"/>
      <c r="BM17" s="797"/>
      <c r="BN17" s="797"/>
      <c r="BO17" s="797"/>
      <c r="BP17" s="797"/>
      <c r="BQ17" s="797"/>
      <c r="BR17" s="799"/>
      <c r="BS17" s="799"/>
    </row>
    <row r="18" spans="1:71" ht="15.95" customHeight="1">
      <c r="B18" s="800">
        <v>1</v>
      </c>
      <c r="C18" s="1107"/>
      <c r="D18" s="1108"/>
      <c r="E18" s="1108"/>
      <c r="F18" s="1108"/>
      <c r="G18" s="1108"/>
      <c r="H18" s="1108"/>
      <c r="I18" s="1108"/>
      <c r="J18" s="1108"/>
      <c r="K18" s="1108"/>
      <c r="L18" s="1079"/>
      <c r="M18" s="1079"/>
      <c r="N18" s="1079"/>
      <c r="O18" s="1079"/>
      <c r="P18" s="1118"/>
      <c r="Q18" s="1116"/>
      <c r="R18" s="1076"/>
      <c r="S18" s="1076"/>
      <c r="T18" s="1079"/>
      <c r="U18" s="1079"/>
      <c r="V18" s="1079"/>
      <c r="W18" s="1079"/>
      <c r="X18" s="1118"/>
      <c r="Y18" s="1116"/>
      <c r="Z18" s="1076"/>
      <c r="AA18" s="1076"/>
      <c r="AB18" s="1109"/>
      <c r="AC18" s="1109"/>
      <c r="AD18" s="1110"/>
      <c r="AE18" s="1111"/>
      <c r="AF18" s="1112"/>
      <c r="AG18" s="1112"/>
      <c r="AH18" s="1114" t="str">
        <f>IF(OR(C18="",L18="",Q18="",T18="",Y18="",AB18="",AE18=""),"",ROUND(AE18-AB18,2))</f>
        <v/>
      </c>
      <c r="AI18" s="1114"/>
      <c r="AJ18" s="1115"/>
      <c r="AK18" s="831" t="str">
        <f>IF(OR(C18="",L18="",Q18="",T18="",Y18="",AB18="",AE18=""),"",IF(BD18-BE18&lt;=0,0,ROUND(BD18-BE18,0)))</f>
        <v/>
      </c>
      <c r="AL18" s="831"/>
      <c r="AM18" s="831"/>
      <c r="AN18" s="833" t="str">
        <f>IF(OR(C18="",L18="",Q18="",T18="",Y18="",AB18="",AE18=""),"",
IF(BQ18&lt;&gt;"",BQ18,IF(BS18&gt;0,BS18,
IF(ACTIVEBLOCK_N="Yes",ROUND(MIN(AH18*INCCOSTCAP,AK18*BLOCKBIDRATE),2),
ROUND(MIN(AH18*INCCOSTCAP,BJ18),2))
)))</f>
        <v/>
      </c>
      <c r="AO18" s="833"/>
      <c r="AP18" s="833"/>
      <c r="AQ18" s="833"/>
      <c r="AY18" s="835" t="str">
        <f>IFERROR(IF(OR(C18="",L18="",Q18="",T18="",Y18="",AB18="",AE18=""),"",ROUND(BR18/AH18,2)),0)</f>
        <v/>
      </c>
      <c r="AZ18" s="835" t="str">
        <f>IFERROR(AH18/N02S03F14/AK18,"")</f>
        <v/>
      </c>
      <c r="BA18" s="815" t="str">
        <f>IF(C18="","",INDEX(CMECOOK_N[Unit of Measure],MATCH(C18,CMECOOK_N[Proj Desc 1],0)))</f>
        <v/>
      </c>
      <c r="BB18" s="849" t="str">
        <f>IF(AK18&lt;&gt;"","Missing!","")</f>
        <v/>
      </c>
      <c r="BC18" s="849" t="str">
        <f>IF(AK18&lt;&gt;"","Missing!","")</f>
        <v/>
      </c>
      <c r="BD18" s="837" t="str">
        <f t="shared" ref="BD18" si="0">IF(OR(C18="",L18="",Q18="",T18="",Y18="",AB18="",AE18=""),"",ROUND(Q18,0))</f>
        <v/>
      </c>
      <c r="BE18" s="837" t="str">
        <f t="shared" ref="BE18" si="1">IF(OR(C18="",L18="",Q18="",T18="",Y18="",AB18="",AE18=""),"",ROUND(Y18,0))</f>
        <v/>
      </c>
      <c r="BF18" s="843" t="str">
        <f>IF(C18="","",IF(INDEX(CMECOOK_N[EUL],MATCH(C18,CMECOOK_N[Proj Desc 1],0))="","",INDEX(CMECOOK_N[EUL],MATCH(C18,CMECOOK_N[Proj Desc 1],0))))</f>
        <v/>
      </c>
      <c r="BG18" s="845" t="str">
        <f>IF(C18="","",IF(INDEX(CMECOOK_N[End Use Category],MATCH(C18,CMECOOK_N[Proj Desc 1],0))="","",INDEX(CMECOOK_N[End Use Category],MATCH(C18,CMECOOK_N[Proj Desc 1],0))))</f>
        <v/>
      </c>
      <c r="BH18" s="837" t="str">
        <f>IFERROR(IF(OR(C18="",L18="",Q18="",T18="",Y18="",AB18="",AE18=""),"",ROUND(AK18*INDEX(ENDUSEALL[Factor],MATCH(BG18,ENDUSEALL[End Use to Coincident Peak Demand Factors],0)),4)),"")</f>
        <v/>
      </c>
      <c r="BI18" s="874"/>
      <c r="BJ18" s="787" t="str">
        <f>IFERROR(ROUND(AK18*BK18,2),"")</f>
        <v/>
      </c>
      <c r="BK18" s="787" t="str">
        <f>_xlfn.LET(_xlpm.ROWS,MATCH(BG18,ENDUSEALL[End Use to Coincident Peak Demand Factors],0),IFERROR(INDEX(IF(AND(ACTIVEBONUS_N = TRUE,INDEX(ENDUSEALL[Bonus Rate ($/kWh)],_xlpm.ROWS)&lt;&gt;""),ENDUSEALL[Bonus Rate ($/kWh)],ENDUSEALL[Rate ($/kWh)]),_xlpm.ROWS),""))</f>
        <v/>
      </c>
      <c r="BL18" s="829"/>
      <c r="BM18" s="829"/>
      <c r="BN18" s="1069" t="str">
        <f>_xlfn.LET(_xlpm.BONUS_RATE,INDEX(ENDUSEALL[Bonus Rate ($/kWh)],MATCH(BG18,ENDUSEALL[End Use to Coincident Peak Demand Factors],0)),_xlpm.BASE_RATE,INDEX(ENDUSEALL[Rate ($/kWh)],MATCH(BG18,ENDUSEALL[End Use to Coincident Peak Demand Factors],0)),IFERROR(IF(OR(ACTIVEBONUS_N &lt;&gt; TRUE,ISNUMBER(AN18) = FALSE,BS18 &lt;&gt; ""),"",AN18-(AK18*_xlpm.BASE_RATE)),""))</f>
        <v/>
      </c>
      <c r="BO18" s="1070" t="str">
        <f>IF(OR(C18="",L18="",Q18="",T18="",Y18="",AB18="",AE18=""),"",IF(BQ18&lt;&gt;"",SPILLOVERNUMBER,INDEX(CMECOOK_N[Measure Number],MATCH(C18,CMECOOK_N[Proj Desc 1],0))))</f>
        <v/>
      </c>
      <c r="BP18" s="815" t="str">
        <f>IFERROR(
IF(BS18="",
IF(AND(ROUND(AN18/AH18,2)=INCCOSTCAP,BJ18/AH18&gt;INCCOSTCAP),
"100% Incremental Cost",
IF(BK18&lt;KWHRATEMIN,
"kWh Incentive Rate Min",
IF(BK18&gt;KWHRATEMAX,
"kWh Incentive Rate Cap",
IF(AN18=BN18,
"Bonus Incentive",
"kWh Incentive"
)))),""),
"")</f>
        <v/>
      </c>
      <c r="BQ18" s="815" t="str">
        <f ca="1">IFERROR(IF(EXPIRATION&lt;&gt;"",PROJSTATEXP,
IF(BS18&gt;0,"",
IF(BD18-BE18&lt;=0,MEASURESAVE,
IF(OR(N02S03F14="",N02S03F14="Select Rate Code",N02S03F14=0),MEASURERATE,
IF(AND(ISNUMBER(SEARCH("Others",C18)),OR(BF18="",BG18="")),MEASURESUBMIT,
IF(AH18&lt;=0,MEASUREINCR,
IF(PAYPROJ_N&lt;PAYBACKREQ,PROJECTSTATPAYBACK,
IF(CBPROJ_N&lt;CBREQ,PROJECTSTATCB,"")))))))),MEASURESUBMIT)</f>
        <v>Submit for Review</v>
      </c>
      <c r="BR18" s="787" t="str">
        <f>IFERROR(IF(OR(C18="",L18="",Q18="",T18="",Y18="",AB18="",AE18=""),"",
ROUND(((1+ELOSS)*((AK18*INDEX(ELECCB[NPV AEC $/kWh],MATCH(BF18,ELECCB[Year Number],1)))+(BH18*INDEX(ELECCB[NPV ACC $/kW],MATCH(BF18,ELECCB[Year Number],1))))),2)),0)</f>
        <v/>
      </c>
      <c r="BS18" s="853"/>
    </row>
    <row r="19" spans="1:71" ht="15.95" customHeight="1">
      <c r="B19" s="800"/>
      <c r="C19" s="1091"/>
      <c r="D19" s="1092"/>
      <c r="E19" s="1092"/>
      <c r="F19" s="1092"/>
      <c r="G19" s="1092"/>
      <c r="H19" s="1092"/>
      <c r="I19" s="1092"/>
      <c r="J19" s="1092"/>
      <c r="K19" s="1092"/>
      <c r="L19" s="1081"/>
      <c r="M19" s="1081"/>
      <c r="N19" s="1081"/>
      <c r="O19" s="1081"/>
      <c r="P19" s="1119"/>
      <c r="Q19" s="1117"/>
      <c r="R19" s="1078"/>
      <c r="S19" s="1078"/>
      <c r="T19" s="1081"/>
      <c r="U19" s="1081"/>
      <c r="V19" s="1081"/>
      <c r="W19" s="1081"/>
      <c r="X19" s="1119"/>
      <c r="Y19" s="1117"/>
      <c r="Z19" s="1078"/>
      <c r="AA19" s="1078"/>
      <c r="AB19" s="1093"/>
      <c r="AC19" s="1093"/>
      <c r="AD19" s="1094"/>
      <c r="AE19" s="1095"/>
      <c r="AF19" s="1096"/>
      <c r="AG19" s="1096"/>
      <c r="AH19" s="1105"/>
      <c r="AI19" s="1105"/>
      <c r="AJ19" s="1106"/>
      <c r="AK19" s="832"/>
      <c r="AL19" s="832"/>
      <c r="AM19" s="832"/>
      <c r="AN19" s="834"/>
      <c r="AO19" s="834"/>
      <c r="AP19" s="834"/>
      <c r="AQ19" s="834"/>
      <c r="AY19" s="836"/>
      <c r="AZ19" s="836"/>
      <c r="BA19" s="816"/>
      <c r="BB19" s="850"/>
      <c r="BC19" s="850"/>
      <c r="BD19" s="838"/>
      <c r="BE19" s="838"/>
      <c r="BF19" s="844"/>
      <c r="BG19" s="846"/>
      <c r="BH19" s="838"/>
      <c r="BI19" s="875"/>
      <c r="BJ19" s="788"/>
      <c r="BK19" s="788"/>
      <c r="BL19" s="830"/>
      <c r="BM19" s="830"/>
      <c r="BN19" s="1090"/>
      <c r="BO19" s="1071"/>
      <c r="BP19" s="816"/>
      <c r="BQ19" s="816"/>
      <c r="BR19" s="788"/>
      <c r="BS19" s="854"/>
    </row>
    <row r="20" spans="1:71" ht="15.95" customHeight="1">
      <c r="A20" s="76"/>
      <c r="B20" s="800">
        <v>2</v>
      </c>
      <c r="C20" s="1091"/>
      <c r="D20" s="1092"/>
      <c r="E20" s="1092"/>
      <c r="F20" s="1092"/>
      <c r="G20" s="1092"/>
      <c r="H20" s="1092"/>
      <c r="I20" s="1092"/>
      <c r="J20" s="1092"/>
      <c r="K20" s="1092"/>
      <c r="L20" s="1083"/>
      <c r="M20" s="1083"/>
      <c r="N20" s="1083"/>
      <c r="O20" s="1083"/>
      <c r="P20" s="1121"/>
      <c r="Q20" s="1120"/>
      <c r="R20" s="1086"/>
      <c r="S20" s="1086"/>
      <c r="T20" s="1083"/>
      <c r="U20" s="1083"/>
      <c r="V20" s="1083"/>
      <c r="W20" s="1083"/>
      <c r="X20" s="1121"/>
      <c r="Y20" s="1120"/>
      <c r="Z20" s="1086"/>
      <c r="AA20" s="1086"/>
      <c r="AB20" s="1093"/>
      <c r="AC20" s="1093"/>
      <c r="AD20" s="1094"/>
      <c r="AE20" s="1095"/>
      <c r="AF20" s="1096"/>
      <c r="AG20" s="1096"/>
      <c r="AH20" s="1103" t="str">
        <f t="shared" ref="AH20" si="2">IF(OR(C20="",L20="",Q20="",T20="",Y20="",AB20="",AE20=""),"",ROUND(AE20-AB20,2))</f>
        <v/>
      </c>
      <c r="AI20" s="1103"/>
      <c r="AJ20" s="1104"/>
      <c r="AK20" s="831" t="str">
        <f t="shared" ref="AK20" si="3">IF(OR(C20="",L20="",Q20="",T20="",Y20="",AB20="",AE20=""),"",IF(BD20-BE20&lt;=0,0,ROUND(BD20-BE20,0)))</f>
        <v/>
      </c>
      <c r="AL20" s="831"/>
      <c r="AM20" s="831"/>
      <c r="AN20" s="1097" t="str">
        <f>IF(OR(C20="",L20="",Q20="",T20="",Y20="",AB20="",AE20=""),"",
IF(BQ20&lt;&gt;"",BQ20,IF(BS20&gt;0,BS20,
IF(ACTIVEBLOCK_N="Yes",ROUND(MIN(AH20*INCCOSTCAP,AK20*BLOCKBIDRATE),2),
ROUND(MIN(AH20*INCCOSTCAP,BJ20),2))
)))</f>
        <v/>
      </c>
      <c r="AO20" s="1098"/>
      <c r="AP20" s="1098"/>
      <c r="AQ20" s="1099"/>
      <c r="AY20" s="835" t="str">
        <f t="shared" ref="AY20" si="4">IFERROR(IF(OR(C20="",L20="",Q20="",T20="",Y20="",AB20="",AE20=""),"",ROUND(BR20/AH20,2)),0)</f>
        <v/>
      </c>
      <c r="AZ20" s="835" t="str">
        <f>IFERROR(AH20/N02S03F14/AK20,"")</f>
        <v/>
      </c>
      <c r="BA20" s="815" t="str">
        <f>IF(C20="","",INDEX(CMECOOK_N[Unit of Measure],MATCH(C20,CMECOOK_N[Proj Desc 1],0)))</f>
        <v/>
      </c>
      <c r="BB20" s="849" t="str">
        <f t="shared" ref="BB20" si="5">IF(AK20&lt;&gt;"","Missing!","")</f>
        <v/>
      </c>
      <c r="BC20" s="849" t="str">
        <f t="shared" ref="BC20" si="6">IF(AK20&lt;&gt;"","Missing!","")</f>
        <v/>
      </c>
      <c r="BD20" s="837" t="str">
        <f t="shared" ref="BD20" si="7">IF(OR(C20="",L20="",Q20="",T20="",Y20="",AB20="",AE20=""),"",ROUND(Q20,0))</f>
        <v/>
      </c>
      <c r="BE20" s="837" t="str">
        <f t="shared" ref="BE20" si="8">IF(OR(C20="",L20="",Q20="",T20="",Y20="",AB20="",AE20=""),"",ROUND(Y20,0))</f>
        <v/>
      </c>
      <c r="BF20" s="843" t="str">
        <f>IF(C20="","",IF(INDEX(CMECOOK_N[EUL],MATCH(C20,CMECOOK_N[Proj Desc 1],0))="","",INDEX(CMECOOK_N[EUL],MATCH(C20,CMECOOK_N[Proj Desc 1],0))))</f>
        <v/>
      </c>
      <c r="BG20" s="845" t="str">
        <f>IF(C20="","",IF(INDEX(CMECOOK_N[End Use Category],MATCH(C20,CMECOOK_N[Proj Desc 1],0))="","",INDEX(CMECOOK_N[End Use Category],MATCH(C20,CMECOOK_N[Proj Desc 1],0))))</f>
        <v/>
      </c>
      <c r="BH20" s="837" t="str">
        <f>IFERROR(IF(OR(C20="",L20="",Q20="",T20="",Y20="",AB20="",AE20=""),"",ROUND(AK20*INDEX(ENDUSEALL[Factor],MATCH(BG20,ENDUSEALL[End Use to Coincident Peak Demand Factors],0)),4)),"")</f>
        <v/>
      </c>
      <c r="BI20" s="874"/>
      <c r="BJ20" s="787" t="str">
        <f>IFERROR(ROUND(AK20*BK20,2),"")</f>
        <v/>
      </c>
      <c r="BK20" s="1067" t="str">
        <f>_xlfn.LET(_xlpm.ROWS,MATCH(BG20,ENDUSEALL[End Use to Coincident Peak Demand Factors],0),IFERROR(INDEX(IF(AND(ACTIVEBONUS_N = TRUE,INDEX(ENDUSEALL[Bonus Rate ($/kWh)],_xlpm.ROWS)&lt;&gt;""),ENDUSEALL[Bonus Rate ($/kWh)],ENDUSEALL[Rate ($/kWh)]),_xlpm.ROWS),""))</f>
        <v/>
      </c>
      <c r="BL20" s="829"/>
      <c r="BM20" s="829"/>
      <c r="BN20" s="1068" t="str">
        <f>_xlfn.LET(_xlpm.BONUS_RATE,INDEX(ENDUSEALL[Bonus Rate ($/kWh)],MATCH(BG20,ENDUSEALL[End Use to Coincident Peak Demand Factors],0)),_xlpm.BASE_RATE,INDEX(ENDUSEALL[Rate ($/kWh)],MATCH(BG20,ENDUSEALL[End Use to Coincident Peak Demand Factors],0)),IFERROR(IF(OR(ACTIVEBONUS_N &lt;&gt; TRUE,ISNUMBER(AN20) = FALSE,BS20 &lt;&gt; ""),"",AN20-(AK20*_xlpm.BASE_RATE)),""))</f>
        <v/>
      </c>
      <c r="BO20" s="1070" t="str">
        <f>IF(OR(C20="",L20="",Q20="",T20="",Y20="",AB20="",AE20=""),"",IF(BQ20&lt;&gt;"",SPILLOVERNUMBER,INDEX(CMECOOK_N[Measure Number],MATCH(C20,CMECOOK_N[Proj Desc 1],0))))</f>
        <v/>
      </c>
      <c r="BP20" s="815" t="str">
        <f>IFERROR(
IF(BS20="",
IF(AND(ROUND(AN20/AH20,2)=INCCOSTCAP,BJ20/AH20&gt;INCCOSTCAP),
"100% Incremental Cost",
IF(BK20&lt;KWHRATEMIN,
"kWh Incentive Rate Min",
IF(BK20&gt;KWHRATEMAX,
"kWh Incentive Rate Cap",
IF(AN20=BN20,
"Bonus Incentive",
"kWh Incentive"
)))),""),
"")</f>
        <v/>
      </c>
      <c r="BQ20" s="815" t="str">
        <f ca="1">IFERROR(IF(EXPIRATION&lt;&gt;"",PROJSTATEXP,
IF(BS20&gt;0,"",
IF(BD20-BE20&lt;=0,MEASURESAVE,
IF(OR(N02S03F14="",N02S03F14="Select Rate Code",N02S03F14=0),MEASURERATE,
IF(AND(ISNUMBER(SEARCH("Others",C20)),OR(BF20="",BG20="")),MEASURESUBMIT,
IF(AH20&lt;=0,MEASUREINCR,
IF(PAYPROJ_N&lt;PAYBACKREQ,PROJECTSTATPAYBACK,
IF(CBPROJ_N&lt;CBREQ,PROJECTSTATCB,"")))))))),MEASURESUBMIT)</f>
        <v>Submit for Review</v>
      </c>
      <c r="BR20" s="787" t="str">
        <f>IFERROR(IF(OR(C20="",L20="",Q20="",T20="",Y20="",AB20="",AE20=""),"",
ROUND(((1+ELOSS)*((AK20*INDEX(ELECCB[NPV AEC $/kWh],MATCH(BF20,ELECCB[Year Number],1)))+(BH20*INDEX(ELECCB[NPV ACC $/kW],MATCH(BF20,ELECCB[Year Number],1))))),2)),0)</f>
        <v/>
      </c>
      <c r="BS20" s="853"/>
    </row>
    <row r="21" spans="1:71" ht="15.95" customHeight="1">
      <c r="B21" s="800"/>
      <c r="C21" s="1091"/>
      <c r="D21" s="1092"/>
      <c r="E21" s="1092"/>
      <c r="F21" s="1092"/>
      <c r="G21" s="1092"/>
      <c r="H21" s="1092"/>
      <c r="I21" s="1092"/>
      <c r="J21" s="1092"/>
      <c r="K21" s="1092"/>
      <c r="L21" s="1081"/>
      <c r="M21" s="1081"/>
      <c r="N21" s="1081"/>
      <c r="O21" s="1081"/>
      <c r="P21" s="1119"/>
      <c r="Q21" s="1117"/>
      <c r="R21" s="1078"/>
      <c r="S21" s="1078"/>
      <c r="T21" s="1081"/>
      <c r="U21" s="1081"/>
      <c r="V21" s="1081"/>
      <c r="W21" s="1081"/>
      <c r="X21" s="1119"/>
      <c r="Y21" s="1117"/>
      <c r="Z21" s="1078"/>
      <c r="AA21" s="1078"/>
      <c r="AB21" s="1093"/>
      <c r="AC21" s="1093"/>
      <c r="AD21" s="1094"/>
      <c r="AE21" s="1095"/>
      <c r="AF21" s="1096"/>
      <c r="AG21" s="1096"/>
      <c r="AH21" s="1105"/>
      <c r="AI21" s="1105"/>
      <c r="AJ21" s="1106"/>
      <c r="AK21" s="832"/>
      <c r="AL21" s="832"/>
      <c r="AM21" s="832"/>
      <c r="AN21" s="1100"/>
      <c r="AO21" s="1101"/>
      <c r="AP21" s="1101"/>
      <c r="AQ21" s="1102"/>
      <c r="AY21" s="836"/>
      <c r="AZ21" s="836"/>
      <c r="BA21" s="816"/>
      <c r="BB21" s="850"/>
      <c r="BC21" s="850"/>
      <c r="BD21" s="838"/>
      <c r="BE21" s="838"/>
      <c r="BF21" s="844"/>
      <c r="BG21" s="846"/>
      <c r="BH21" s="838"/>
      <c r="BI21" s="875"/>
      <c r="BJ21" s="788"/>
      <c r="BK21" s="787"/>
      <c r="BL21" s="830"/>
      <c r="BM21" s="830"/>
      <c r="BN21" s="1069"/>
      <c r="BO21" s="1071"/>
      <c r="BP21" s="816"/>
      <c r="BQ21" s="816"/>
      <c r="BR21" s="788"/>
      <c r="BS21" s="854"/>
    </row>
    <row r="22" spans="1:71" s="21" customFormat="1" ht="15.95" customHeight="1">
      <c r="A22" s="111"/>
      <c r="B22" s="800">
        <v>3</v>
      </c>
      <c r="C22" s="1091"/>
      <c r="D22" s="1092"/>
      <c r="E22" s="1092"/>
      <c r="F22" s="1092"/>
      <c r="G22" s="1092"/>
      <c r="H22" s="1092"/>
      <c r="I22" s="1092"/>
      <c r="J22" s="1092"/>
      <c r="K22" s="1092"/>
      <c r="L22" s="1083"/>
      <c r="M22" s="1083"/>
      <c r="N22" s="1083"/>
      <c r="O22" s="1083"/>
      <c r="P22" s="1121"/>
      <c r="Q22" s="1120"/>
      <c r="R22" s="1086"/>
      <c r="S22" s="1086"/>
      <c r="T22" s="1083"/>
      <c r="U22" s="1083"/>
      <c r="V22" s="1083"/>
      <c r="W22" s="1083"/>
      <c r="X22" s="1121"/>
      <c r="Y22" s="1120"/>
      <c r="Z22" s="1086"/>
      <c r="AA22" s="1086"/>
      <c r="AB22" s="1093"/>
      <c r="AC22" s="1093"/>
      <c r="AD22" s="1094"/>
      <c r="AE22" s="1095"/>
      <c r="AF22" s="1096"/>
      <c r="AG22" s="1096"/>
      <c r="AH22" s="1103" t="str">
        <f t="shared" ref="AH22" si="9">IF(OR(C22="",L22="",Q22="",T22="",Y22="",AB22="",AE22=""),"",ROUND(AE22-AB22,2))</f>
        <v/>
      </c>
      <c r="AI22" s="1103"/>
      <c r="AJ22" s="1104"/>
      <c r="AK22" s="831" t="str">
        <f t="shared" ref="AK22" si="10">IF(OR(C22="",L22="",Q22="",T22="",Y22="",AB22="",AE22=""),"",IF(BD22-BE22&lt;=0,0,ROUND(BD22-BE22,0)))</f>
        <v/>
      </c>
      <c r="AL22" s="831"/>
      <c r="AM22" s="831"/>
      <c r="AN22" s="1097" t="str">
        <f>IF(OR(C22="",L22="",Q22="",T22="",Y22="",AB22="",AE22=""),"",
IF(BQ22&lt;&gt;"",BQ22,IF(BS22&gt;0,BS22,
IF(ACTIVEBLOCK_N="Yes",ROUND(MIN(AH22*INCCOSTCAP,AK22*BLOCKBIDRATE),2),
ROUND(MIN(AH22*INCCOSTCAP,BJ22),2))
)))</f>
        <v/>
      </c>
      <c r="AO22" s="1098"/>
      <c r="AP22" s="1098"/>
      <c r="AQ22" s="1099"/>
      <c r="AR22"/>
      <c r="AS22"/>
      <c r="AT22"/>
      <c r="AU22"/>
      <c r="AV22"/>
      <c r="AW22"/>
      <c r="AX22"/>
      <c r="AY22" s="835" t="str">
        <f t="shared" ref="AY22" si="11">IFERROR(IF(OR(C22="",L22="",Q22="",T22="",Y22="",AB22="",AE22=""),"",ROUND(BR22/AH22,2)),0)</f>
        <v/>
      </c>
      <c r="AZ22" s="835" t="str">
        <f>IFERROR(AH22/N02S03F14/AK22,"")</f>
        <v/>
      </c>
      <c r="BA22" s="815" t="str">
        <f>IF(C22="","",INDEX(CMECOOK_N[Unit of Measure],MATCH(C22,CMECOOK_N[Proj Desc 1],0)))</f>
        <v/>
      </c>
      <c r="BB22" s="849" t="str">
        <f t="shared" ref="BB22" si="12">IF(AK22&lt;&gt;"","Missing!","")</f>
        <v/>
      </c>
      <c r="BC22" s="849" t="str">
        <f t="shared" ref="BC22" si="13">IF(AK22&lt;&gt;"","Missing!","")</f>
        <v/>
      </c>
      <c r="BD22" s="837" t="str">
        <f t="shared" ref="BD22" si="14">IF(OR(C22="",L22="",Q22="",T22="",Y22="",AB22="",AE22=""),"",ROUND(Q22,0))</f>
        <v/>
      </c>
      <c r="BE22" s="837" t="str">
        <f t="shared" ref="BE22" si="15">IF(OR(C22="",L22="",Q22="",T22="",Y22="",AB22="",AE22=""),"",ROUND(Y22,0))</f>
        <v/>
      </c>
      <c r="BF22" s="843" t="str">
        <f>IF(C22="","",IF(INDEX(CMECOOK_N[EUL],MATCH(C22,CMECOOK_N[Proj Desc 1],0))="","",INDEX(CMECOOK_N[EUL],MATCH(C22,CMECOOK_N[Proj Desc 1],0))))</f>
        <v/>
      </c>
      <c r="BG22" s="845" t="str">
        <f>IF(C22="","",IF(INDEX(CMECOOK_N[End Use Category],MATCH(C22,CMECOOK_N[Proj Desc 1],0))="","",INDEX(CMECOOK_N[End Use Category],MATCH(C22,CMECOOK_N[Proj Desc 1],0))))</f>
        <v/>
      </c>
      <c r="BH22" s="837" t="str">
        <f>IFERROR(IF(OR(C22="",L22="",Q22="",T22="",Y22="",AB22="",AE22=""),"",ROUND(AK22*INDEX(ENDUSEALL[Factor],MATCH(BG22,ENDUSEALL[End Use to Coincident Peak Demand Factors],0)),4)),"")</f>
        <v/>
      </c>
      <c r="BI22" s="874"/>
      <c r="BJ22" s="787" t="str">
        <f>IFERROR(ROUND(AK22*BK22,2),"")</f>
        <v/>
      </c>
      <c r="BK22" s="1067" t="str">
        <f>_xlfn.LET(_xlpm.ROWS,MATCH(BG22,ENDUSEALL[End Use to Coincident Peak Demand Factors],0),IFERROR(INDEX(IF(AND(ACTIVEBONUS_N = TRUE,INDEX(ENDUSEALL[Bonus Rate ($/kWh)],_xlpm.ROWS)&lt;&gt;""),ENDUSEALL[Bonus Rate ($/kWh)],ENDUSEALL[Rate ($/kWh)]),_xlpm.ROWS),""))</f>
        <v/>
      </c>
      <c r="BL22" s="829"/>
      <c r="BM22" s="829"/>
      <c r="BN22" s="1068" t="str">
        <f>_xlfn.LET(_xlpm.BONUS_RATE,INDEX(ENDUSEALL[Bonus Rate ($/kWh)],MATCH(BG22,ENDUSEALL[End Use to Coincident Peak Demand Factors],0)),_xlpm.BASE_RATE,INDEX(ENDUSEALL[Rate ($/kWh)],MATCH(BG22,ENDUSEALL[End Use to Coincident Peak Demand Factors],0)),IFERROR(IF(OR(ACTIVEBONUS_N &lt;&gt; TRUE,ISNUMBER(AN22) = FALSE,BS22 &lt;&gt; ""),"",AN22-(AK22*_xlpm.BASE_RATE)),""))</f>
        <v/>
      </c>
      <c r="BO22" s="1070" t="str">
        <f>IF(OR(C22="",L22="",Q22="",T22="",Y22="",AB22="",AE22=""),"",IF(BQ22&lt;&gt;"",SPILLOVERNUMBER,INDEX(CMECOOK_N[Measure Number],MATCH(C22,CMECOOK_N[Proj Desc 1],0))))</f>
        <v/>
      </c>
      <c r="BP22" s="815" t="str">
        <f>IFERROR(
IF(BS22="",
IF(AND(ROUND(AN22/AH22,2)=INCCOSTCAP,BJ22/AH22&gt;INCCOSTCAP),
"100% Incremental Cost",
IF(BK22&lt;KWHRATEMIN,
"kWh Incentive Rate Min",
IF(BK22&gt;KWHRATEMAX,
"kWh Incentive Rate Cap",
IF(AN22=BN22,
"Bonus Incentive",
"kWh Incentive"
)))),""),
"")</f>
        <v/>
      </c>
      <c r="BQ22" s="815" t="str">
        <f ca="1">IFERROR(IF(EXPIRATION&lt;&gt;"",PROJSTATEXP,
IF(BS22&gt;0,"",
IF(BD22-BE22&lt;=0,MEASURESAVE,
IF(OR(N02S03F14="",N02S03F14="Select Rate Code",N02S03F14=0),MEASURERATE,
IF(AND(ISNUMBER(SEARCH("Others",C22)),OR(BF22="",BG22="")),MEASURESUBMIT,
IF(AH22&lt;=0,MEASUREINCR,
IF(PAYPROJ_N&lt;PAYBACKREQ,PROJECTSTATPAYBACK,
IF(CBPROJ_N&lt;CBREQ,PROJECTSTATCB,"")))))))),MEASURESUBMIT)</f>
        <v>Submit for Review</v>
      </c>
      <c r="BR22" s="787" t="str">
        <f>IFERROR(IF(OR(C22="",L22="",Q22="",T22="",Y22="",AB22="",AE22=""),"",
ROUND(((1+ELOSS)*((AK22*INDEX(ELECCB[NPV AEC $/kWh],MATCH(BF22,ELECCB[Year Number],1)))+(BH22*INDEX(ELECCB[NPV ACC $/kW],MATCH(BF22,ELECCB[Year Number],1))))),2)),0)</f>
        <v/>
      </c>
      <c r="BS22" s="853"/>
    </row>
    <row r="23" spans="1:71" s="21" customFormat="1" ht="15.95" customHeight="1">
      <c r="A23" s="111"/>
      <c r="B23" s="800"/>
      <c r="C23" s="1091"/>
      <c r="D23" s="1092"/>
      <c r="E23" s="1092"/>
      <c r="F23" s="1092"/>
      <c r="G23" s="1092"/>
      <c r="H23" s="1092"/>
      <c r="I23" s="1092"/>
      <c r="J23" s="1092"/>
      <c r="K23" s="1092"/>
      <c r="L23" s="1081"/>
      <c r="M23" s="1081"/>
      <c r="N23" s="1081"/>
      <c r="O23" s="1081"/>
      <c r="P23" s="1119"/>
      <c r="Q23" s="1117"/>
      <c r="R23" s="1078"/>
      <c r="S23" s="1078"/>
      <c r="T23" s="1081"/>
      <c r="U23" s="1081"/>
      <c r="V23" s="1081"/>
      <c r="W23" s="1081"/>
      <c r="X23" s="1119"/>
      <c r="Y23" s="1117"/>
      <c r="Z23" s="1078"/>
      <c r="AA23" s="1078"/>
      <c r="AB23" s="1093"/>
      <c r="AC23" s="1093"/>
      <c r="AD23" s="1094"/>
      <c r="AE23" s="1095"/>
      <c r="AF23" s="1096"/>
      <c r="AG23" s="1096"/>
      <c r="AH23" s="1105"/>
      <c r="AI23" s="1105"/>
      <c r="AJ23" s="1106"/>
      <c r="AK23" s="832"/>
      <c r="AL23" s="832"/>
      <c r="AM23" s="832"/>
      <c r="AN23" s="1100"/>
      <c r="AO23" s="1101"/>
      <c r="AP23" s="1101"/>
      <c r="AQ23" s="1102"/>
      <c r="AR23"/>
      <c r="AS23"/>
      <c r="AT23"/>
      <c r="AU23"/>
      <c r="AV23"/>
      <c r="AW23"/>
      <c r="AX23"/>
      <c r="AY23" s="836"/>
      <c r="AZ23" s="836"/>
      <c r="BA23" s="816"/>
      <c r="BB23" s="850"/>
      <c r="BC23" s="850"/>
      <c r="BD23" s="838"/>
      <c r="BE23" s="838"/>
      <c r="BF23" s="844"/>
      <c r="BG23" s="846"/>
      <c r="BH23" s="838"/>
      <c r="BI23" s="875"/>
      <c r="BJ23" s="788"/>
      <c r="BK23" s="787"/>
      <c r="BL23" s="830"/>
      <c r="BM23" s="830"/>
      <c r="BN23" s="1069"/>
      <c r="BO23" s="1071"/>
      <c r="BP23" s="816"/>
      <c r="BQ23" s="816"/>
      <c r="BR23" s="788"/>
      <c r="BS23" s="854"/>
    </row>
    <row r="24" spans="1:71" ht="15.95" customHeight="1">
      <c r="B24" s="800">
        <v>4</v>
      </c>
      <c r="C24" s="1091"/>
      <c r="D24" s="1092"/>
      <c r="E24" s="1092"/>
      <c r="F24" s="1092"/>
      <c r="G24" s="1092"/>
      <c r="H24" s="1092"/>
      <c r="I24" s="1092"/>
      <c r="J24" s="1092"/>
      <c r="K24" s="1092"/>
      <c r="L24" s="1083"/>
      <c r="M24" s="1083"/>
      <c r="N24" s="1083"/>
      <c r="O24" s="1083"/>
      <c r="P24" s="1121"/>
      <c r="Q24" s="1120"/>
      <c r="R24" s="1086"/>
      <c r="S24" s="1086"/>
      <c r="T24" s="1083"/>
      <c r="U24" s="1083"/>
      <c r="V24" s="1083"/>
      <c r="W24" s="1083"/>
      <c r="X24" s="1121"/>
      <c r="Y24" s="1120"/>
      <c r="Z24" s="1086"/>
      <c r="AA24" s="1086"/>
      <c r="AB24" s="1093"/>
      <c r="AC24" s="1093"/>
      <c r="AD24" s="1094"/>
      <c r="AE24" s="1095"/>
      <c r="AF24" s="1096"/>
      <c r="AG24" s="1096"/>
      <c r="AH24" s="1103" t="str">
        <f t="shared" ref="AH24" si="16">IF(OR(C24="",L24="",Q24="",T24="",Y24="",AB24="",AE24=""),"",ROUND(AE24-AB24,2))</f>
        <v/>
      </c>
      <c r="AI24" s="1103"/>
      <c r="AJ24" s="1104"/>
      <c r="AK24" s="831" t="str">
        <f t="shared" ref="AK24" si="17">IF(OR(C24="",L24="",Q24="",T24="",Y24="",AB24="",AE24=""),"",IF(BD24-BE24&lt;=0,0,ROUND(BD24-BE24,0)))</f>
        <v/>
      </c>
      <c r="AL24" s="831"/>
      <c r="AM24" s="831"/>
      <c r="AN24" s="1097" t="str">
        <f>IF(OR(C24="",L24="",Q24="",T24="",Y24="",AB24="",AE24=""),"",
IF(BQ24&lt;&gt;"",BQ24,IF(BS24&gt;0,BS24,
IF(ACTIVEBLOCK_N="Yes",ROUND(MIN(AH24*INCCOSTCAP,AK24*BLOCKBIDRATE),2),
ROUND(MIN(AH24*INCCOSTCAP,BJ24),2))
)))</f>
        <v/>
      </c>
      <c r="AO24" s="1098"/>
      <c r="AP24" s="1098"/>
      <c r="AQ24" s="1099"/>
      <c r="AY24" s="835" t="str">
        <f t="shared" ref="AY24" si="18">IFERROR(IF(OR(C24="",L24="",Q24="",T24="",Y24="",AB24="",AE24=""),"",ROUND(BR24/AH24,2)),0)</f>
        <v/>
      </c>
      <c r="AZ24" s="835" t="str">
        <f>IFERROR(AH24/N02S03F14/AK24,"")</f>
        <v/>
      </c>
      <c r="BA24" s="815" t="str">
        <f>IF(C24="","",INDEX(CMECOOK_N[Unit of Measure],MATCH(C24,CMECOOK_N[Proj Desc 1],0)))</f>
        <v/>
      </c>
      <c r="BB24" s="849" t="str">
        <f t="shared" ref="BB24" si="19">IF(AK24&lt;&gt;"","Missing!","")</f>
        <v/>
      </c>
      <c r="BC24" s="849" t="str">
        <f t="shared" ref="BC24" si="20">IF(AK24&lt;&gt;"","Missing!","")</f>
        <v/>
      </c>
      <c r="BD24" s="837" t="str">
        <f t="shared" ref="BD24" si="21">IF(OR(C24="",L24="",Q24="",T24="",Y24="",AB24="",AE24=""),"",ROUND(Q24,0))</f>
        <v/>
      </c>
      <c r="BE24" s="837" t="str">
        <f t="shared" ref="BE24" si="22">IF(OR(C24="",L24="",Q24="",T24="",Y24="",AB24="",AE24=""),"",ROUND(Y24,0))</f>
        <v/>
      </c>
      <c r="BF24" s="843" t="str">
        <f>IF(C24="","",IF(INDEX(CMECOOK_N[EUL],MATCH(C24,CMECOOK_N[Proj Desc 1],0))="","",INDEX(CMECOOK_N[EUL],MATCH(C24,CMECOOK_N[Proj Desc 1],0))))</f>
        <v/>
      </c>
      <c r="BG24" s="845" t="str">
        <f>IF(C24="","",IF(INDEX(CMECOOK_N[End Use Category],MATCH(C24,CMECOOK_N[Proj Desc 1],0))="","",INDEX(CMECOOK_N[End Use Category],MATCH(C24,CMECOOK_N[Proj Desc 1],0))))</f>
        <v/>
      </c>
      <c r="BH24" s="837" t="str">
        <f>IFERROR(IF(OR(C24="",L24="",Q24="",T24="",Y24="",AB24="",AE24=""),"",ROUND(AK24*INDEX(ENDUSEALL[Factor],MATCH(BG24,ENDUSEALL[End Use to Coincident Peak Demand Factors],0)),4)),"")</f>
        <v/>
      </c>
      <c r="BI24" s="874"/>
      <c r="BJ24" s="787" t="str">
        <f>IFERROR(ROUND(AK24*BK24,2),"")</f>
        <v/>
      </c>
      <c r="BK24" s="1067" t="str">
        <f>_xlfn.LET(_xlpm.ROWS,MATCH(BG24,ENDUSEALL[End Use to Coincident Peak Demand Factors],0),IFERROR(INDEX(IF(AND(ACTIVEBONUS_N = TRUE,INDEX(ENDUSEALL[Bonus Rate ($/kWh)],_xlpm.ROWS)&lt;&gt;""),ENDUSEALL[Bonus Rate ($/kWh)],ENDUSEALL[Rate ($/kWh)]),_xlpm.ROWS),""))</f>
        <v/>
      </c>
      <c r="BL24" s="829"/>
      <c r="BM24" s="829"/>
      <c r="BN24" s="1068" t="str">
        <f>_xlfn.LET(_xlpm.BONUS_RATE,INDEX(ENDUSEALL[Bonus Rate ($/kWh)],MATCH(BG24,ENDUSEALL[End Use to Coincident Peak Demand Factors],0)),_xlpm.BASE_RATE,INDEX(ENDUSEALL[Rate ($/kWh)],MATCH(BG24,ENDUSEALL[End Use to Coincident Peak Demand Factors],0)),IFERROR(IF(OR(ACTIVEBONUS_N &lt;&gt; TRUE,ISNUMBER(AN24) = FALSE,BS24 &lt;&gt; ""),"",AN24-(AK24*_xlpm.BASE_RATE)),""))</f>
        <v/>
      </c>
      <c r="BO24" s="1070" t="str">
        <f>IF(OR(C24="",L24="",Q24="",T24="",Y24="",AB24="",AE24=""),"",IF(BQ24&lt;&gt;"",SPILLOVERNUMBER,INDEX(CMECOOK_N[Measure Number],MATCH(C24,CMECOOK_N[Proj Desc 1],0))))</f>
        <v/>
      </c>
      <c r="BP24" s="815" t="str">
        <f>IFERROR(
IF(BS24="",
IF(AND(ROUND(AN24/AH24,2)=INCCOSTCAP,BJ24/AH24&gt;INCCOSTCAP),
"100% Incremental Cost",
IF(BK24&lt;KWHRATEMIN,
"kWh Incentive Rate Min",
IF(BK24&gt;KWHRATEMAX,
"kWh Incentive Rate Cap",
IF(AN24=BN24,
"Bonus Incentive",
"kWh Incentive"
)))),""),
"")</f>
        <v/>
      </c>
      <c r="BQ24" s="815" t="str">
        <f ca="1">IFERROR(IF(EXPIRATION&lt;&gt;"",PROJSTATEXP,
IF(BS24&gt;0,"",
IF(BD24-BE24&lt;=0,MEASURESAVE,
IF(OR(N02S03F14="",N02S03F14="Select Rate Code",N02S03F14=0),MEASURERATE,
IF(AND(ISNUMBER(SEARCH("Others",C24)),OR(BF24="",BG24="")),MEASURESUBMIT,
IF(AH24&lt;=0,MEASUREINCR,
IF(PAYPROJ_N&lt;PAYBACKREQ,PROJECTSTATPAYBACK,
IF(CBPROJ_N&lt;CBREQ,PROJECTSTATCB,"")))))))),MEASURESUBMIT)</f>
        <v>Submit for Review</v>
      </c>
      <c r="BR24" s="787" t="str">
        <f>IFERROR(IF(OR(C24="",L24="",Q24="",T24="",Y24="",AB24="",AE24=""),"",
ROUND(((1+ELOSS)*((AK24*INDEX(ELECCB[NPV AEC $/kWh],MATCH(BF24,ELECCB[Year Number],1)))+(BH24*INDEX(ELECCB[NPV ACC $/kW],MATCH(BF24,ELECCB[Year Number],1))))),2)),0)</f>
        <v/>
      </c>
      <c r="BS24" s="853"/>
    </row>
    <row r="25" spans="1:71" ht="15.95" customHeight="1">
      <c r="A25" s="76"/>
      <c r="B25" s="800"/>
      <c r="C25" s="1091"/>
      <c r="D25" s="1092"/>
      <c r="E25" s="1092"/>
      <c r="F25" s="1092"/>
      <c r="G25" s="1092"/>
      <c r="H25" s="1092"/>
      <c r="I25" s="1092"/>
      <c r="J25" s="1092"/>
      <c r="K25" s="1092"/>
      <c r="L25" s="1081"/>
      <c r="M25" s="1081"/>
      <c r="N25" s="1081"/>
      <c r="O25" s="1081"/>
      <c r="P25" s="1119"/>
      <c r="Q25" s="1117"/>
      <c r="R25" s="1078"/>
      <c r="S25" s="1078"/>
      <c r="T25" s="1081"/>
      <c r="U25" s="1081"/>
      <c r="V25" s="1081"/>
      <c r="W25" s="1081"/>
      <c r="X25" s="1119"/>
      <c r="Y25" s="1117"/>
      <c r="Z25" s="1078"/>
      <c r="AA25" s="1078"/>
      <c r="AB25" s="1093"/>
      <c r="AC25" s="1093"/>
      <c r="AD25" s="1094"/>
      <c r="AE25" s="1095"/>
      <c r="AF25" s="1096"/>
      <c r="AG25" s="1096"/>
      <c r="AH25" s="1105"/>
      <c r="AI25" s="1105"/>
      <c r="AJ25" s="1106"/>
      <c r="AK25" s="832"/>
      <c r="AL25" s="832"/>
      <c r="AM25" s="832"/>
      <c r="AN25" s="1100"/>
      <c r="AO25" s="1101"/>
      <c r="AP25" s="1101"/>
      <c r="AQ25" s="1102"/>
      <c r="AY25" s="836"/>
      <c r="AZ25" s="836"/>
      <c r="BA25" s="816"/>
      <c r="BB25" s="850"/>
      <c r="BC25" s="850"/>
      <c r="BD25" s="838"/>
      <c r="BE25" s="838"/>
      <c r="BF25" s="844"/>
      <c r="BG25" s="846"/>
      <c r="BH25" s="838"/>
      <c r="BI25" s="875"/>
      <c r="BJ25" s="788"/>
      <c r="BK25" s="787"/>
      <c r="BL25" s="830"/>
      <c r="BM25" s="830"/>
      <c r="BN25" s="1069"/>
      <c r="BO25" s="1071"/>
      <c r="BP25" s="816"/>
      <c r="BQ25" s="816"/>
      <c r="BR25" s="788"/>
      <c r="BS25" s="854"/>
    </row>
    <row r="26" spans="1:71" ht="15.95" customHeight="1">
      <c r="B26" s="800">
        <v>5</v>
      </c>
      <c r="C26" s="1091"/>
      <c r="D26" s="1092"/>
      <c r="E26" s="1092"/>
      <c r="F26" s="1092"/>
      <c r="G26" s="1092"/>
      <c r="H26" s="1092"/>
      <c r="I26" s="1092"/>
      <c r="J26" s="1092"/>
      <c r="K26" s="1092"/>
      <c r="L26" s="1083"/>
      <c r="M26" s="1083"/>
      <c r="N26" s="1083"/>
      <c r="O26" s="1083"/>
      <c r="P26" s="1121"/>
      <c r="Q26" s="1120"/>
      <c r="R26" s="1086"/>
      <c r="S26" s="1086"/>
      <c r="T26" s="1083"/>
      <c r="U26" s="1083"/>
      <c r="V26" s="1083"/>
      <c r="W26" s="1083"/>
      <c r="X26" s="1121"/>
      <c r="Y26" s="1120"/>
      <c r="Z26" s="1086"/>
      <c r="AA26" s="1086"/>
      <c r="AB26" s="1093"/>
      <c r="AC26" s="1093"/>
      <c r="AD26" s="1094"/>
      <c r="AE26" s="1095"/>
      <c r="AF26" s="1096"/>
      <c r="AG26" s="1096"/>
      <c r="AH26" s="1103" t="str">
        <f t="shared" ref="AH26" si="23">IF(OR(C26="",L26="",Q26="",T26="",Y26="",AB26="",AE26=""),"",ROUND(AE26-AB26,2))</f>
        <v/>
      </c>
      <c r="AI26" s="1103"/>
      <c r="AJ26" s="1104"/>
      <c r="AK26" s="831" t="str">
        <f t="shared" ref="AK26" si="24">IF(OR(C26="",L26="",Q26="",T26="",Y26="",AB26="",AE26=""),"",IF(BD26-BE26&lt;=0,0,ROUND(BD26-BE26,0)))</f>
        <v/>
      </c>
      <c r="AL26" s="831"/>
      <c r="AM26" s="831"/>
      <c r="AN26" s="1097" t="str">
        <f>IF(OR(C26="",L26="",Q26="",T26="",Y26="",AB26="",AE26=""),"",
IF(BQ26&lt;&gt;"",BQ26,IF(BS26&gt;0,BS26,
IF(ACTIVEBLOCK_N="Yes",ROUND(MIN(AH26*INCCOSTCAP,AK26*BLOCKBIDRATE),2),
ROUND(MIN(AH26*INCCOSTCAP,BJ26),2))
)))</f>
        <v/>
      </c>
      <c r="AO26" s="1098"/>
      <c r="AP26" s="1098"/>
      <c r="AQ26" s="1099"/>
      <c r="AY26" s="835" t="str">
        <f t="shared" ref="AY26" si="25">IFERROR(IF(OR(C26="",L26="",Q26="",T26="",Y26="",AB26="",AE26=""),"",ROUND(BR26/AH26,2)),0)</f>
        <v/>
      </c>
      <c r="AZ26" s="835" t="str">
        <f>IFERROR(AH26/N02S03F14/AK26,"")</f>
        <v/>
      </c>
      <c r="BA26" s="815" t="str">
        <f>IF(C26="","",INDEX(CMECOOK_N[Unit of Measure],MATCH(C26,CMECOOK_N[Proj Desc 1],0)))</f>
        <v/>
      </c>
      <c r="BB26" s="849" t="str">
        <f t="shared" ref="BB26" si="26">IF(AK26&lt;&gt;"","Missing!","")</f>
        <v/>
      </c>
      <c r="BC26" s="849" t="str">
        <f t="shared" ref="BC26" si="27">IF(AK26&lt;&gt;"","Missing!","")</f>
        <v/>
      </c>
      <c r="BD26" s="837" t="str">
        <f t="shared" ref="BD26" si="28">IF(OR(C26="",L26="",Q26="",T26="",Y26="",AB26="",AE26=""),"",ROUND(Q26,0))</f>
        <v/>
      </c>
      <c r="BE26" s="837" t="str">
        <f t="shared" ref="BE26" si="29">IF(OR(C26="",L26="",Q26="",T26="",Y26="",AB26="",AE26=""),"",ROUND(Y26,0))</f>
        <v/>
      </c>
      <c r="BF26" s="843" t="str">
        <f>IF(C26="","",IF(INDEX(CMECOOK_N[EUL],MATCH(C26,CMECOOK_N[Proj Desc 1],0))="","",INDEX(CMECOOK_N[EUL],MATCH(C26,CMECOOK_N[Proj Desc 1],0))))</f>
        <v/>
      </c>
      <c r="BG26" s="845" t="str">
        <f>IF(C26="","",IF(INDEX(CMECOOK_N[End Use Category],MATCH(C26,CMECOOK_N[Proj Desc 1],0))="","",INDEX(CMECOOK_N[End Use Category],MATCH(C26,CMECOOK_N[Proj Desc 1],0))))</f>
        <v/>
      </c>
      <c r="BH26" s="837" t="str">
        <f>IFERROR(IF(OR(C26="",L26="",Q26="",T26="",Y26="",AB26="",AE26=""),"",ROUND(AK26*INDEX(ENDUSEALL[Factor],MATCH(BG26,ENDUSEALL[End Use to Coincident Peak Demand Factors],0)),4)),"")</f>
        <v/>
      </c>
      <c r="BI26" s="874"/>
      <c r="BJ26" s="787" t="str">
        <f>IFERROR(ROUND(AK26*BK26,2),"")</f>
        <v/>
      </c>
      <c r="BK26" s="1067" t="str">
        <f>_xlfn.LET(_xlpm.ROWS,MATCH(BG26,ENDUSEALL[End Use to Coincident Peak Demand Factors],0),IFERROR(INDEX(IF(AND(ACTIVEBONUS_N = TRUE,INDEX(ENDUSEALL[Bonus Rate ($/kWh)],_xlpm.ROWS)&lt;&gt;""),ENDUSEALL[Bonus Rate ($/kWh)],ENDUSEALL[Rate ($/kWh)]),_xlpm.ROWS),""))</f>
        <v/>
      </c>
      <c r="BL26" s="829"/>
      <c r="BM26" s="829"/>
      <c r="BN26" s="1068" t="str">
        <f>_xlfn.LET(_xlpm.BONUS_RATE,INDEX(ENDUSEALL[Bonus Rate ($/kWh)],MATCH(BG26,ENDUSEALL[End Use to Coincident Peak Demand Factors],0)),_xlpm.BASE_RATE,INDEX(ENDUSEALL[Rate ($/kWh)],MATCH(BG26,ENDUSEALL[End Use to Coincident Peak Demand Factors],0)),IFERROR(IF(OR(ACTIVEBONUS_N &lt;&gt; TRUE,ISNUMBER(AN26) = FALSE,BS26 &lt;&gt; ""),"",AN26-(AK26*_xlpm.BASE_RATE)),""))</f>
        <v/>
      </c>
      <c r="BO26" s="1070" t="str">
        <f>IF(OR(C26="",L26="",Q26="",T26="",Y26="",AB26="",AE26=""),"",IF(BQ26&lt;&gt;"",SPILLOVERNUMBER,INDEX(CMECOOK_N[Measure Number],MATCH(C26,CMECOOK_N[Proj Desc 1],0))))</f>
        <v/>
      </c>
      <c r="BP26" s="815" t="str">
        <f>IFERROR(
IF(BS26="",
IF(AND(ROUND(AN26/AH26,2)=INCCOSTCAP,BJ26/AH26&gt;INCCOSTCAP),
"100% Incremental Cost",
IF(BK26&lt;KWHRATEMIN,
"kWh Incentive Rate Min",
IF(BK26&gt;KWHRATEMAX,
"kWh Incentive Rate Cap",
IF(AN26=BN26,
"Bonus Incentive",
"kWh Incentive"
)))),""),
"")</f>
        <v/>
      </c>
      <c r="BQ26" s="815" t="str">
        <f ca="1">IFERROR(IF(EXPIRATION&lt;&gt;"",PROJSTATEXP,
IF(BS26&gt;0,"",
IF(BD26-BE26&lt;=0,MEASURESAVE,
IF(OR(N02S03F14="",N02S03F14="Select Rate Code",N02S03F14=0),MEASURERATE,
IF(AND(ISNUMBER(SEARCH("Others",C26)),OR(BF26="",BG26="")),MEASURESUBMIT,
IF(AH26&lt;=0,MEASUREINCR,
IF(PAYPROJ_N&lt;PAYBACKREQ,PROJECTSTATPAYBACK,
IF(CBPROJ_N&lt;CBREQ,PROJECTSTATCB,"")))))))),MEASURESUBMIT)</f>
        <v>Submit for Review</v>
      </c>
      <c r="BR26" s="787" t="str">
        <f>IFERROR(IF(OR(C26="",L26="",Q26="",T26="",Y26="",AB26="",AE26=""),"",
ROUND(((1+ELOSS)*((AK26*INDEX(ELECCB[NPV AEC $/kWh],MATCH(BF26,ELECCB[Year Number],1)))+(BH26*INDEX(ELECCB[NPV ACC $/kW],MATCH(BF26,ELECCB[Year Number],1))))),2)),0)</f>
        <v/>
      </c>
      <c r="BS26" s="853"/>
    </row>
    <row r="27" spans="1:71" ht="15.95" customHeight="1">
      <c r="B27" s="800"/>
      <c r="C27" s="1091"/>
      <c r="D27" s="1092"/>
      <c r="E27" s="1092"/>
      <c r="F27" s="1092"/>
      <c r="G27" s="1092"/>
      <c r="H27" s="1092"/>
      <c r="I27" s="1092"/>
      <c r="J27" s="1092"/>
      <c r="K27" s="1092"/>
      <c r="L27" s="1081"/>
      <c r="M27" s="1081"/>
      <c r="N27" s="1081"/>
      <c r="O27" s="1081"/>
      <c r="P27" s="1119"/>
      <c r="Q27" s="1117"/>
      <c r="R27" s="1078"/>
      <c r="S27" s="1078"/>
      <c r="T27" s="1081"/>
      <c r="U27" s="1081"/>
      <c r="V27" s="1081"/>
      <c r="W27" s="1081"/>
      <c r="X27" s="1119"/>
      <c r="Y27" s="1117"/>
      <c r="Z27" s="1078"/>
      <c r="AA27" s="1078"/>
      <c r="AB27" s="1093"/>
      <c r="AC27" s="1093"/>
      <c r="AD27" s="1094"/>
      <c r="AE27" s="1095"/>
      <c r="AF27" s="1096"/>
      <c r="AG27" s="1096"/>
      <c r="AH27" s="1105"/>
      <c r="AI27" s="1105"/>
      <c r="AJ27" s="1106"/>
      <c r="AK27" s="832"/>
      <c r="AL27" s="832"/>
      <c r="AM27" s="832"/>
      <c r="AN27" s="1100"/>
      <c r="AO27" s="1101"/>
      <c r="AP27" s="1101"/>
      <c r="AQ27" s="1102"/>
      <c r="AY27" s="836"/>
      <c r="AZ27" s="836"/>
      <c r="BA27" s="816"/>
      <c r="BB27" s="850"/>
      <c r="BC27" s="850"/>
      <c r="BD27" s="838"/>
      <c r="BE27" s="838"/>
      <c r="BF27" s="844"/>
      <c r="BG27" s="846"/>
      <c r="BH27" s="838"/>
      <c r="BI27" s="875"/>
      <c r="BJ27" s="788"/>
      <c r="BK27" s="787"/>
      <c r="BL27" s="830"/>
      <c r="BM27" s="830"/>
      <c r="BN27" s="1069"/>
      <c r="BO27" s="1071"/>
      <c r="BP27" s="816"/>
      <c r="BQ27" s="816"/>
      <c r="BR27" s="788"/>
      <c r="BS27" s="854"/>
    </row>
    <row r="28" spans="1:71" ht="15.95" customHeight="1">
      <c r="B28" s="800">
        <v>6</v>
      </c>
      <c r="C28" s="1091"/>
      <c r="D28" s="1092"/>
      <c r="E28" s="1092"/>
      <c r="F28" s="1092"/>
      <c r="G28" s="1092"/>
      <c r="H28" s="1092"/>
      <c r="I28" s="1092"/>
      <c r="J28" s="1092"/>
      <c r="K28" s="1092"/>
      <c r="L28" s="1083"/>
      <c r="M28" s="1083"/>
      <c r="N28" s="1083"/>
      <c r="O28" s="1083"/>
      <c r="P28" s="1121"/>
      <c r="Q28" s="1120"/>
      <c r="R28" s="1086"/>
      <c r="S28" s="1086"/>
      <c r="T28" s="1083"/>
      <c r="U28" s="1083"/>
      <c r="V28" s="1083"/>
      <c r="W28" s="1083"/>
      <c r="X28" s="1121"/>
      <c r="Y28" s="1120"/>
      <c r="Z28" s="1086"/>
      <c r="AA28" s="1086"/>
      <c r="AB28" s="1093"/>
      <c r="AC28" s="1093"/>
      <c r="AD28" s="1094"/>
      <c r="AE28" s="1095"/>
      <c r="AF28" s="1096"/>
      <c r="AG28" s="1096"/>
      <c r="AH28" s="1103" t="str">
        <f t="shared" ref="AH28" si="30">IF(OR(C28="",L28="",Q28="",T28="",Y28="",AB28="",AE28=""),"",ROUND(AE28-AB28,2))</f>
        <v/>
      </c>
      <c r="AI28" s="1103"/>
      <c r="AJ28" s="1104"/>
      <c r="AK28" s="831" t="str">
        <f t="shared" ref="AK28" si="31">IF(OR(C28="",L28="",Q28="",T28="",Y28="",AB28="",AE28=""),"",IF(BD28-BE28&lt;=0,0,ROUND(BD28-BE28,0)))</f>
        <v/>
      </c>
      <c r="AL28" s="831"/>
      <c r="AM28" s="831"/>
      <c r="AN28" s="1097" t="str">
        <f>IF(OR(C28="",L28="",Q28="",T28="",Y28="",AB28="",AE28=""),"",
IF(BQ28&lt;&gt;"",BQ28,IF(BS28&gt;0,BS28,
IF(ACTIVEBLOCK_N="Yes",ROUND(MIN(AH28*INCCOSTCAP,AK28*BLOCKBIDRATE),2),
ROUND(MIN(AH28*INCCOSTCAP,BJ28),2))
)))</f>
        <v/>
      </c>
      <c r="AO28" s="1098"/>
      <c r="AP28" s="1098"/>
      <c r="AQ28" s="1099"/>
      <c r="AY28" s="835" t="str">
        <f t="shared" ref="AY28" si="32">IFERROR(IF(OR(C28="",L28="",Q28="",T28="",Y28="",AB28="",AE28=""),"",ROUND(BR28/AH28,2)),0)</f>
        <v/>
      </c>
      <c r="AZ28" s="835" t="str">
        <f>IFERROR(AH28/N02S03F14/AK28,"")</f>
        <v/>
      </c>
      <c r="BA28" s="815" t="str">
        <f>IF(C28="","",INDEX(CMECOOK_N[Unit of Measure],MATCH(C28,CMECOOK_N[Proj Desc 1],0)))</f>
        <v/>
      </c>
      <c r="BB28" s="849" t="str">
        <f t="shared" ref="BB28" si="33">IF(AK28&lt;&gt;"","Missing!","")</f>
        <v/>
      </c>
      <c r="BC28" s="849" t="str">
        <f t="shared" ref="BC28" si="34">IF(AK28&lt;&gt;"","Missing!","")</f>
        <v/>
      </c>
      <c r="BD28" s="837" t="str">
        <f t="shared" ref="BD28" si="35">IF(OR(C28="",L28="",Q28="",T28="",Y28="",AB28="",AE28=""),"",ROUND(Q28,0))</f>
        <v/>
      </c>
      <c r="BE28" s="837" t="str">
        <f t="shared" ref="BE28" si="36">IF(OR(C28="",L28="",Q28="",T28="",Y28="",AB28="",AE28=""),"",ROUND(Y28,0))</f>
        <v/>
      </c>
      <c r="BF28" s="843" t="str">
        <f>IF(C28="","",IF(INDEX(CMECOOK_N[EUL],MATCH(C28,CMECOOK_N[Proj Desc 1],0))="","",INDEX(CMECOOK_N[EUL],MATCH(C28,CMECOOK_N[Proj Desc 1],0))))</f>
        <v/>
      </c>
      <c r="BG28" s="845" t="str">
        <f>IF(C28="","",IF(INDEX(CMECOOK_N[End Use Category],MATCH(C28,CMECOOK_N[Proj Desc 1],0))="","",INDEX(CMECOOK_N[End Use Category],MATCH(C28,CMECOOK_N[Proj Desc 1],0))))</f>
        <v/>
      </c>
      <c r="BH28" s="837" t="str">
        <f>IFERROR(IF(OR(C28="",L28="",Q28="",T28="",Y28="",AB28="",AE28=""),"",ROUND(AK28*INDEX(ENDUSEALL[Factor],MATCH(BG28,ENDUSEALL[End Use to Coincident Peak Demand Factors],0)),4)),"")</f>
        <v/>
      </c>
      <c r="BI28" s="874"/>
      <c r="BJ28" s="787" t="str">
        <f>IFERROR(ROUND(AK28*BK28,2),"")</f>
        <v/>
      </c>
      <c r="BK28" s="1067" t="str">
        <f>_xlfn.LET(_xlpm.ROWS,MATCH(BG28,ENDUSEALL[End Use to Coincident Peak Demand Factors],0),IFERROR(INDEX(IF(AND(ACTIVEBONUS_N = TRUE,INDEX(ENDUSEALL[Bonus Rate ($/kWh)],_xlpm.ROWS)&lt;&gt;""),ENDUSEALL[Bonus Rate ($/kWh)],ENDUSEALL[Rate ($/kWh)]),_xlpm.ROWS),""))</f>
        <v/>
      </c>
      <c r="BL28" s="829"/>
      <c r="BM28" s="829"/>
      <c r="BN28" s="1068" t="str">
        <f>_xlfn.LET(_xlpm.BONUS_RATE,INDEX(ENDUSEALL[Bonus Rate ($/kWh)],MATCH(BG28,ENDUSEALL[End Use to Coincident Peak Demand Factors],0)),_xlpm.BASE_RATE,INDEX(ENDUSEALL[Rate ($/kWh)],MATCH(BG28,ENDUSEALL[End Use to Coincident Peak Demand Factors],0)),IFERROR(IF(OR(ACTIVEBONUS_N &lt;&gt; TRUE,ISNUMBER(AN28) = FALSE,BS28 &lt;&gt; ""),"",AN28-(AK28*_xlpm.BASE_RATE)),""))</f>
        <v/>
      </c>
      <c r="BO28" s="1070" t="str">
        <f>IF(OR(C28="",L28="",Q28="",T28="",Y28="",AB28="",AE28=""),"",IF(BQ28&lt;&gt;"",SPILLOVERNUMBER,INDEX(CMECOOK_N[Measure Number],MATCH(C28,CMECOOK_N[Proj Desc 1],0))))</f>
        <v/>
      </c>
      <c r="BP28" s="815" t="str">
        <f>IFERROR(
IF(BS28="",
IF(AND(ROUND(AN28/AH28,2)=INCCOSTCAP,BJ28/AH28&gt;INCCOSTCAP),
"100% Incremental Cost",
IF(BK28&lt;KWHRATEMIN,
"kWh Incentive Rate Min",
IF(BK28&gt;KWHRATEMAX,
"kWh Incentive Rate Cap",
IF(AN28=BN28,
"Bonus Incentive",
"kWh Incentive"
)))),""),
"")</f>
        <v/>
      </c>
      <c r="BQ28" s="815" t="str">
        <f ca="1">IFERROR(IF(EXPIRATION&lt;&gt;"",PROJSTATEXP,
IF(BS28&gt;0,"",
IF(BD28-BE28&lt;=0,MEASURESAVE,
IF(OR(N02S03F14="",N02S03F14="Select Rate Code",N02S03F14=0),MEASURERATE,
IF(AND(ISNUMBER(SEARCH("Others",C28)),OR(BF28="",BG28="")),MEASURESUBMIT,
IF(AH28&lt;=0,MEASUREINCR,
IF(PAYPROJ_N&lt;PAYBACKREQ,PROJECTSTATPAYBACK,
IF(CBPROJ_N&lt;CBREQ,PROJECTSTATCB,"")))))))),MEASURESUBMIT)</f>
        <v>Submit for Review</v>
      </c>
      <c r="BR28" s="787" t="str">
        <f>IFERROR(IF(OR(C28="",L28="",Q28="",T28="",Y28="",AB28="",AE28=""),"",
ROUND(((1+ELOSS)*((AK28*INDEX(ELECCB[NPV AEC $/kWh],MATCH(BF28,ELECCB[Year Number],1)))+(BH28*INDEX(ELECCB[NPV ACC $/kW],MATCH(BF28,ELECCB[Year Number],1))))),2)),0)</f>
        <v/>
      </c>
      <c r="BS28" s="853"/>
    </row>
    <row r="29" spans="1:71" ht="15.95" customHeight="1">
      <c r="B29" s="800"/>
      <c r="C29" s="1091"/>
      <c r="D29" s="1092"/>
      <c r="E29" s="1092"/>
      <c r="F29" s="1092"/>
      <c r="G29" s="1092"/>
      <c r="H29" s="1092"/>
      <c r="I29" s="1092"/>
      <c r="J29" s="1092"/>
      <c r="K29" s="1092"/>
      <c r="L29" s="1081"/>
      <c r="M29" s="1081"/>
      <c r="N29" s="1081"/>
      <c r="O29" s="1081"/>
      <c r="P29" s="1119"/>
      <c r="Q29" s="1117"/>
      <c r="R29" s="1078"/>
      <c r="S29" s="1078"/>
      <c r="T29" s="1081"/>
      <c r="U29" s="1081"/>
      <c r="V29" s="1081"/>
      <c r="W29" s="1081"/>
      <c r="X29" s="1119"/>
      <c r="Y29" s="1117"/>
      <c r="Z29" s="1078"/>
      <c r="AA29" s="1078"/>
      <c r="AB29" s="1093"/>
      <c r="AC29" s="1093"/>
      <c r="AD29" s="1094"/>
      <c r="AE29" s="1095"/>
      <c r="AF29" s="1096"/>
      <c r="AG29" s="1096"/>
      <c r="AH29" s="1105"/>
      <c r="AI29" s="1105"/>
      <c r="AJ29" s="1106"/>
      <c r="AK29" s="832"/>
      <c r="AL29" s="832"/>
      <c r="AM29" s="832"/>
      <c r="AN29" s="1100"/>
      <c r="AO29" s="1101"/>
      <c r="AP29" s="1101"/>
      <c r="AQ29" s="1102"/>
      <c r="AY29" s="836"/>
      <c r="AZ29" s="836"/>
      <c r="BA29" s="816"/>
      <c r="BB29" s="850"/>
      <c r="BC29" s="850"/>
      <c r="BD29" s="838"/>
      <c r="BE29" s="838"/>
      <c r="BF29" s="844"/>
      <c r="BG29" s="846"/>
      <c r="BH29" s="838"/>
      <c r="BI29" s="875"/>
      <c r="BJ29" s="788"/>
      <c r="BK29" s="787"/>
      <c r="BL29" s="830"/>
      <c r="BM29" s="830"/>
      <c r="BN29" s="1069"/>
      <c r="BO29" s="1071"/>
      <c r="BP29" s="816"/>
      <c r="BQ29" s="816"/>
      <c r="BR29" s="788"/>
      <c r="BS29" s="854"/>
    </row>
    <row r="30" spans="1:71" ht="15.95" customHeight="1">
      <c r="B30" s="800">
        <v>7</v>
      </c>
      <c r="C30" s="1091"/>
      <c r="D30" s="1092"/>
      <c r="E30" s="1092"/>
      <c r="F30" s="1092"/>
      <c r="G30" s="1092"/>
      <c r="H30" s="1092"/>
      <c r="I30" s="1092"/>
      <c r="J30" s="1092"/>
      <c r="K30" s="1092"/>
      <c r="L30" s="1083"/>
      <c r="M30" s="1083"/>
      <c r="N30" s="1083"/>
      <c r="O30" s="1083"/>
      <c r="P30" s="1121"/>
      <c r="Q30" s="1120"/>
      <c r="R30" s="1086"/>
      <c r="S30" s="1086"/>
      <c r="T30" s="1083"/>
      <c r="U30" s="1083"/>
      <c r="V30" s="1083"/>
      <c r="W30" s="1083"/>
      <c r="X30" s="1121"/>
      <c r="Y30" s="1120"/>
      <c r="Z30" s="1086"/>
      <c r="AA30" s="1086"/>
      <c r="AB30" s="1093"/>
      <c r="AC30" s="1093"/>
      <c r="AD30" s="1094"/>
      <c r="AE30" s="1095"/>
      <c r="AF30" s="1096"/>
      <c r="AG30" s="1096"/>
      <c r="AH30" s="1103" t="str">
        <f t="shared" ref="AH30" si="37">IF(OR(C30="",L30="",Q30="",T30="",Y30="",AB30="",AE30=""),"",ROUND(AE30-AB30,2))</f>
        <v/>
      </c>
      <c r="AI30" s="1103"/>
      <c r="AJ30" s="1104"/>
      <c r="AK30" s="831" t="str">
        <f t="shared" ref="AK30" si="38">IF(OR(C30="",L30="",Q30="",T30="",Y30="",AB30="",AE30=""),"",IF(BD30-BE30&lt;=0,0,ROUND(BD30-BE30,0)))</f>
        <v/>
      </c>
      <c r="AL30" s="831"/>
      <c r="AM30" s="831"/>
      <c r="AN30" s="1097" t="str">
        <f>IF(OR(C30="",L30="",Q30="",T30="",Y30="",AB30="",AE30=""),"",
IF(BQ30&lt;&gt;"",BQ30,IF(BS30&gt;0,BS30,
IF(ACTIVEBLOCK_N="Yes",ROUND(MIN(AH30*INCCOSTCAP,AK30*BLOCKBIDRATE),2),
ROUND(MIN(AH30*INCCOSTCAP,BJ30),2))
)))</f>
        <v/>
      </c>
      <c r="AO30" s="1098"/>
      <c r="AP30" s="1098"/>
      <c r="AQ30" s="1099"/>
      <c r="AY30" s="835" t="str">
        <f t="shared" ref="AY30" si="39">IFERROR(IF(OR(C30="",L30="",Q30="",T30="",Y30="",AB30="",AE30=""),"",ROUND(BR30/AH30,2)),0)</f>
        <v/>
      </c>
      <c r="AZ30" s="835" t="str">
        <f>IFERROR(AH30/N02S03F14/AK30,"")</f>
        <v/>
      </c>
      <c r="BA30" s="815" t="str">
        <f>IF(C30="","",INDEX(CMECOOK_N[Unit of Measure],MATCH(C30,CMECOOK_N[Proj Desc 1],0)))</f>
        <v/>
      </c>
      <c r="BB30" s="849" t="str">
        <f t="shared" ref="BB30" si="40">IF(AK30&lt;&gt;"","Missing!","")</f>
        <v/>
      </c>
      <c r="BC30" s="849" t="str">
        <f t="shared" ref="BC30" si="41">IF(AK30&lt;&gt;"","Missing!","")</f>
        <v/>
      </c>
      <c r="BD30" s="837" t="str">
        <f t="shared" ref="BD30" si="42">IF(OR(C30="",L30="",Q30="",T30="",Y30="",AB30="",AE30=""),"",ROUND(Q30,0))</f>
        <v/>
      </c>
      <c r="BE30" s="837" t="str">
        <f t="shared" ref="BE30" si="43">IF(OR(C30="",L30="",Q30="",T30="",Y30="",AB30="",AE30=""),"",ROUND(Y30,0))</f>
        <v/>
      </c>
      <c r="BF30" s="843" t="str">
        <f>IF(C30="","",IF(INDEX(CMECOOK_N[EUL],MATCH(C30,CMECOOK_N[Proj Desc 1],0))="","",INDEX(CMECOOK_N[EUL],MATCH(C30,CMECOOK_N[Proj Desc 1],0))))</f>
        <v/>
      </c>
      <c r="BG30" s="845" t="str">
        <f>IF(C30="","",IF(INDEX(CMECOOK_N[End Use Category],MATCH(C30,CMECOOK_N[Proj Desc 1],0))="","",INDEX(CMECOOK_N[End Use Category],MATCH(C30,CMECOOK_N[Proj Desc 1],0))))</f>
        <v/>
      </c>
      <c r="BH30" s="837" t="str">
        <f>IFERROR(IF(OR(C30="",L30="",Q30="",T30="",Y30="",AB30="",AE30=""),"",ROUND(AK30*INDEX(ENDUSEALL[Factor],MATCH(BG30,ENDUSEALL[End Use to Coincident Peak Demand Factors],0)),4)),"")</f>
        <v/>
      </c>
      <c r="BI30" s="874"/>
      <c r="BJ30" s="787" t="str">
        <f>IFERROR(ROUND(AK30*BK30,2),"")</f>
        <v/>
      </c>
      <c r="BK30" s="1067" t="str">
        <f>_xlfn.LET(_xlpm.ROWS,MATCH(BG30,ENDUSEALL[End Use to Coincident Peak Demand Factors],0),IFERROR(INDEX(IF(AND(ACTIVEBONUS_N = TRUE,INDEX(ENDUSEALL[Bonus Rate ($/kWh)],_xlpm.ROWS)&lt;&gt;""),ENDUSEALL[Bonus Rate ($/kWh)],ENDUSEALL[Rate ($/kWh)]),_xlpm.ROWS),""))</f>
        <v/>
      </c>
      <c r="BL30" s="829"/>
      <c r="BM30" s="829"/>
      <c r="BN30" s="1068" t="str">
        <f>_xlfn.LET(_xlpm.BONUS_RATE,INDEX(ENDUSEALL[Bonus Rate ($/kWh)],MATCH(BG30,ENDUSEALL[End Use to Coincident Peak Demand Factors],0)),_xlpm.BASE_RATE,INDEX(ENDUSEALL[Rate ($/kWh)],MATCH(BG30,ENDUSEALL[End Use to Coincident Peak Demand Factors],0)),IFERROR(IF(OR(ACTIVEBONUS_N &lt;&gt; TRUE,ISNUMBER(AN30) = FALSE,BS30 &lt;&gt; ""),"",AN30-(AK30*_xlpm.BASE_RATE)),""))</f>
        <v/>
      </c>
      <c r="BO30" s="1070" t="str">
        <f>IF(OR(C30="",L30="",Q30="",T30="",Y30="",AB30="",AE30=""),"",IF(BQ30&lt;&gt;"",SPILLOVERNUMBER,INDEX(CMECOOK_N[Measure Number],MATCH(C30,CMECOOK_N[Proj Desc 1],0))))</f>
        <v/>
      </c>
      <c r="BP30" s="815" t="str">
        <f>IFERROR(
IF(BS30="",
IF(AND(ROUND(AN30/AH30,2)=INCCOSTCAP,BJ30/AH30&gt;INCCOSTCAP),
"100% Incremental Cost",
IF(BK30&lt;KWHRATEMIN,
"kWh Incentive Rate Min",
IF(BK30&gt;KWHRATEMAX,
"kWh Incentive Rate Cap",
IF(AN30=BN30,
"Bonus Incentive",
"kWh Incentive"
)))),""),
"")</f>
        <v/>
      </c>
      <c r="BQ30" s="815" t="str">
        <f ca="1">IFERROR(IF(EXPIRATION&lt;&gt;"",PROJSTATEXP,
IF(BS30&gt;0,"",
IF(BD30-BE30&lt;=0,MEASURESAVE,
IF(OR(N02S03F14="",N02S03F14="Select Rate Code",N02S03F14=0),MEASURERATE,
IF(AND(ISNUMBER(SEARCH("Others",C30)),OR(BF30="",BG30="")),MEASURESUBMIT,
IF(AH30&lt;=0,MEASUREINCR,
IF(PAYPROJ_N&lt;PAYBACKREQ,PROJECTSTATPAYBACK,
IF(CBPROJ_N&lt;CBREQ,PROJECTSTATCB,"")))))))),MEASURESUBMIT)</f>
        <v>Submit for Review</v>
      </c>
      <c r="BR30" s="787" t="str">
        <f>IFERROR(IF(OR(C30="",L30="",Q30="",T30="",Y30="",AB30="",AE30=""),"",
ROUND(((1+ELOSS)*((AK30*INDEX(ELECCB[NPV AEC $/kWh],MATCH(BF30,ELECCB[Year Number],1)))+(BH30*INDEX(ELECCB[NPV ACC $/kW],MATCH(BF30,ELECCB[Year Number],1))))),2)),0)</f>
        <v/>
      </c>
      <c r="BS30" s="853"/>
    </row>
    <row r="31" spans="1:71" ht="15.95" customHeight="1">
      <c r="B31" s="800"/>
      <c r="C31" s="1091"/>
      <c r="D31" s="1092"/>
      <c r="E31" s="1092"/>
      <c r="F31" s="1092"/>
      <c r="G31" s="1092"/>
      <c r="H31" s="1092"/>
      <c r="I31" s="1092"/>
      <c r="J31" s="1092"/>
      <c r="K31" s="1092"/>
      <c r="L31" s="1081"/>
      <c r="M31" s="1081"/>
      <c r="N31" s="1081"/>
      <c r="O31" s="1081"/>
      <c r="P31" s="1119"/>
      <c r="Q31" s="1117"/>
      <c r="R31" s="1078"/>
      <c r="S31" s="1078"/>
      <c r="T31" s="1081"/>
      <c r="U31" s="1081"/>
      <c r="V31" s="1081"/>
      <c r="W31" s="1081"/>
      <c r="X31" s="1119"/>
      <c r="Y31" s="1117"/>
      <c r="Z31" s="1078"/>
      <c r="AA31" s="1078"/>
      <c r="AB31" s="1093"/>
      <c r="AC31" s="1093"/>
      <c r="AD31" s="1094"/>
      <c r="AE31" s="1095"/>
      <c r="AF31" s="1096"/>
      <c r="AG31" s="1096"/>
      <c r="AH31" s="1105"/>
      <c r="AI31" s="1105"/>
      <c r="AJ31" s="1106"/>
      <c r="AK31" s="832"/>
      <c r="AL31" s="832"/>
      <c r="AM31" s="832"/>
      <c r="AN31" s="1100"/>
      <c r="AO31" s="1101"/>
      <c r="AP31" s="1101"/>
      <c r="AQ31" s="1102"/>
      <c r="AY31" s="836"/>
      <c r="AZ31" s="836"/>
      <c r="BA31" s="816"/>
      <c r="BB31" s="850"/>
      <c r="BC31" s="850"/>
      <c r="BD31" s="838"/>
      <c r="BE31" s="838"/>
      <c r="BF31" s="844"/>
      <c r="BG31" s="846"/>
      <c r="BH31" s="838"/>
      <c r="BI31" s="875"/>
      <c r="BJ31" s="788"/>
      <c r="BK31" s="787"/>
      <c r="BL31" s="830"/>
      <c r="BM31" s="830"/>
      <c r="BN31" s="1069"/>
      <c r="BO31" s="1071"/>
      <c r="BP31" s="816"/>
      <c r="BQ31" s="816"/>
      <c r="BR31" s="788"/>
      <c r="BS31" s="854"/>
    </row>
    <row r="32" spans="1:71" ht="15.95" customHeight="1">
      <c r="B32" s="800">
        <v>8</v>
      </c>
      <c r="C32" s="1091"/>
      <c r="D32" s="1092"/>
      <c r="E32" s="1092"/>
      <c r="F32" s="1092"/>
      <c r="G32" s="1092"/>
      <c r="H32" s="1092"/>
      <c r="I32" s="1092"/>
      <c r="J32" s="1092"/>
      <c r="K32" s="1092"/>
      <c r="L32" s="1083"/>
      <c r="M32" s="1083"/>
      <c r="N32" s="1083"/>
      <c r="O32" s="1083"/>
      <c r="P32" s="1121"/>
      <c r="Q32" s="1120"/>
      <c r="R32" s="1086"/>
      <c r="S32" s="1086"/>
      <c r="T32" s="1083"/>
      <c r="U32" s="1083"/>
      <c r="V32" s="1083"/>
      <c r="W32" s="1083"/>
      <c r="X32" s="1121"/>
      <c r="Y32" s="1120"/>
      <c r="Z32" s="1086"/>
      <c r="AA32" s="1086"/>
      <c r="AB32" s="1093"/>
      <c r="AC32" s="1093"/>
      <c r="AD32" s="1094"/>
      <c r="AE32" s="1095"/>
      <c r="AF32" s="1096"/>
      <c r="AG32" s="1096"/>
      <c r="AH32" s="1103" t="str">
        <f t="shared" ref="AH32" si="44">IF(OR(C32="",L32="",Q32="",T32="",Y32="",AB32="",AE32=""),"",ROUND(AE32-AB32,2))</f>
        <v/>
      </c>
      <c r="AI32" s="1103"/>
      <c r="AJ32" s="1104"/>
      <c r="AK32" s="831" t="str">
        <f t="shared" ref="AK32" si="45">IF(OR(C32="",L32="",Q32="",T32="",Y32="",AB32="",AE32=""),"",IF(BD32-BE32&lt;=0,0,ROUND(BD32-BE32,0)))</f>
        <v/>
      </c>
      <c r="AL32" s="831"/>
      <c r="AM32" s="831"/>
      <c r="AN32" s="1097" t="str">
        <f>IF(OR(C32="",L32="",Q32="",T32="",Y32="",AB32="",AE32=""),"",
IF(BQ32&lt;&gt;"",BQ32,IF(BS32&gt;0,BS32,
IF(ACTIVEBLOCK_N="Yes",ROUND(MIN(AH32*INCCOSTCAP,AK32*BLOCKBIDRATE),2),
ROUND(MIN(AH32*INCCOSTCAP,BJ32),2))
)))</f>
        <v/>
      </c>
      <c r="AO32" s="1098"/>
      <c r="AP32" s="1098"/>
      <c r="AQ32" s="1099"/>
      <c r="AY32" s="835" t="str">
        <f t="shared" ref="AY32" si="46">IFERROR(IF(OR(C32="",L32="",Q32="",T32="",Y32="",AB32="",AE32=""),"",ROUND(BR32/AH32,2)),0)</f>
        <v/>
      </c>
      <c r="AZ32" s="835" t="str">
        <f>IFERROR(AH32/N02S03F14/AK32,"")</f>
        <v/>
      </c>
      <c r="BA32" s="815" t="str">
        <f>IF(C32="","",INDEX(CMECOOK_N[Unit of Measure],MATCH(C32,CMECOOK_N[Proj Desc 1],0)))</f>
        <v/>
      </c>
      <c r="BB32" s="849" t="str">
        <f t="shared" ref="BB32" si="47">IF(AK32&lt;&gt;"","Missing!","")</f>
        <v/>
      </c>
      <c r="BC32" s="849" t="str">
        <f t="shared" ref="BC32" si="48">IF(AK32&lt;&gt;"","Missing!","")</f>
        <v/>
      </c>
      <c r="BD32" s="837" t="str">
        <f t="shared" ref="BD32" si="49">IF(OR(C32="",L32="",Q32="",T32="",Y32="",AB32="",AE32=""),"",ROUND(Q32,0))</f>
        <v/>
      </c>
      <c r="BE32" s="837" t="str">
        <f t="shared" ref="BE32" si="50">IF(OR(C32="",L32="",Q32="",T32="",Y32="",AB32="",AE32=""),"",ROUND(Y32,0))</f>
        <v/>
      </c>
      <c r="BF32" s="843" t="str">
        <f>IF(C32="","",IF(INDEX(CMECOOK_N[EUL],MATCH(C32,CMECOOK_N[Proj Desc 1],0))="","",INDEX(CMECOOK_N[EUL],MATCH(C32,CMECOOK_N[Proj Desc 1],0))))</f>
        <v/>
      </c>
      <c r="BG32" s="845" t="str">
        <f>IF(C32="","",IF(INDEX(CMECOOK_N[End Use Category],MATCH(C32,CMECOOK_N[Proj Desc 1],0))="","",INDEX(CMECOOK_N[End Use Category],MATCH(C32,CMECOOK_N[Proj Desc 1],0))))</f>
        <v/>
      </c>
      <c r="BH32" s="837" t="str">
        <f>IFERROR(IF(OR(C32="",L32="",Q32="",T32="",Y32="",AB32="",AE32=""),"",ROUND(AK32*INDEX(ENDUSEALL[Factor],MATCH(BG32,ENDUSEALL[End Use to Coincident Peak Demand Factors],0)),4)),"")</f>
        <v/>
      </c>
      <c r="BI32" s="874"/>
      <c r="BJ32" s="787" t="str">
        <f>IFERROR(ROUND(AK32*BK32,2),"")</f>
        <v/>
      </c>
      <c r="BK32" s="1067" t="str">
        <f>_xlfn.LET(_xlpm.ROWS,MATCH(BG32,ENDUSEALL[End Use to Coincident Peak Demand Factors],0),IFERROR(INDEX(IF(AND(ACTIVEBONUS_N = TRUE,INDEX(ENDUSEALL[Bonus Rate ($/kWh)],_xlpm.ROWS)&lt;&gt;""),ENDUSEALL[Bonus Rate ($/kWh)],ENDUSEALL[Rate ($/kWh)]),_xlpm.ROWS),""))</f>
        <v/>
      </c>
      <c r="BL32" s="829"/>
      <c r="BM32" s="829"/>
      <c r="BN32" s="1068" t="str">
        <f>_xlfn.LET(_xlpm.BONUS_RATE,INDEX(ENDUSEALL[Bonus Rate ($/kWh)],MATCH(BG32,ENDUSEALL[End Use to Coincident Peak Demand Factors],0)),_xlpm.BASE_RATE,INDEX(ENDUSEALL[Rate ($/kWh)],MATCH(BG32,ENDUSEALL[End Use to Coincident Peak Demand Factors],0)),IFERROR(IF(OR(ACTIVEBONUS_N &lt;&gt; TRUE,ISNUMBER(AN32) = FALSE,BS32 &lt;&gt; ""),"",AN32-(AK32*_xlpm.BASE_RATE)),""))</f>
        <v/>
      </c>
      <c r="BO32" s="1070" t="str">
        <f>IF(OR(C32="",L32="",Q32="",T32="",Y32="",AB32="",AE32=""),"",IF(BQ32&lt;&gt;"",SPILLOVERNUMBER,INDEX(CMECOOK_N[Measure Number],MATCH(C32,CMECOOK_N[Proj Desc 1],0))))</f>
        <v/>
      </c>
      <c r="BP32" s="815" t="str">
        <f>IFERROR(
IF(BS32="",
IF(AND(ROUND(AN32/AH32,2)=INCCOSTCAP,BJ32/AH32&gt;INCCOSTCAP),
"100% Incremental Cost",
IF(BK32&lt;KWHRATEMIN,
"kWh Incentive Rate Min",
IF(BK32&gt;KWHRATEMAX,
"kWh Incentive Rate Cap",
IF(AN32=BN32,
"Bonus Incentive",
"kWh Incentive"
)))),""),
"")</f>
        <v/>
      </c>
      <c r="BQ32" s="815" t="str">
        <f ca="1">IFERROR(IF(EXPIRATION&lt;&gt;"",PROJSTATEXP,
IF(BS32&gt;0,"",
IF(BD32-BE32&lt;=0,MEASURESAVE,
IF(OR(N02S03F14="",N02S03F14="Select Rate Code",N02S03F14=0),MEASURERATE,
IF(AND(ISNUMBER(SEARCH("Others",C32)),OR(BF32="",BG32="")),MEASURESUBMIT,
IF(AH32&lt;=0,MEASUREINCR,
IF(PAYPROJ_N&lt;PAYBACKREQ,PROJECTSTATPAYBACK,
IF(CBPROJ_N&lt;CBREQ,PROJECTSTATCB,"")))))))),MEASURESUBMIT)</f>
        <v>Submit for Review</v>
      </c>
      <c r="BR32" s="787" t="str">
        <f>IFERROR(IF(OR(C32="",L32="",Q32="",T32="",Y32="",AB32="",AE32=""),"",
ROUND(((1+ELOSS)*((AK32*INDEX(ELECCB[NPV AEC $/kWh],MATCH(BF32,ELECCB[Year Number],1)))+(BH32*INDEX(ELECCB[NPV ACC $/kW],MATCH(BF32,ELECCB[Year Number],1))))),2)),0)</f>
        <v/>
      </c>
      <c r="BS32" s="853"/>
    </row>
    <row r="33" spans="2:71" ht="15.95" customHeight="1">
      <c r="B33" s="800"/>
      <c r="C33" s="1091"/>
      <c r="D33" s="1092"/>
      <c r="E33" s="1092"/>
      <c r="F33" s="1092"/>
      <c r="G33" s="1092"/>
      <c r="H33" s="1092"/>
      <c r="I33" s="1092"/>
      <c r="J33" s="1092"/>
      <c r="K33" s="1092"/>
      <c r="L33" s="1081"/>
      <c r="M33" s="1081"/>
      <c r="N33" s="1081"/>
      <c r="O33" s="1081"/>
      <c r="P33" s="1119"/>
      <c r="Q33" s="1117"/>
      <c r="R33" s="1078"/>
      <c r="S33" s="1078"/>
      <c r="T33" s="1081"/>
      <c r="U33" s="1081"/>
      <c r="V33" s="1081"/>
      <c r="W33" s="1081"/>
      <c r="X33" s="1119"/>
      <c r="Y33" s="1117"/>
      <c r="Z33" s="1078"/>
      <c r="AA33" s="1078"/>
      <c r="AB33" s="1093"/>
      <c r="AC33" s="1093"/>
      <c r="AD33" s="1094"/>
      <c r="AE33" s="1095"/>
      <c r="AF33" s="1096"/>
      <c r="AG33" s="1096"/>
      <c r="AH33" s="1105"/>
      <c r="AI33" s="1105"/>
      <c r="AJ33" s="1106"/>
      <c r="AK33" s="832"/>
      <c r="AL33" s="832"/>
      <c r="AM33" s="832"/>
      <c r="AN33" s="1100"/>
      <c r="AO33" s="1101"/>
      <c r="AP33" s="1101"/>
      <c r="AQ33" s="1102"/>
      <c r="AY33" s="836"/>
      <c r="AZ33" s="836"/>
      <c r="BA33" s="816"/>
      <c r="BB33" s="850"/>
      <c r="BC33" s="850"/>
      <c r="BD33" s="838"/>
      <c r="BE33" s="838"/>
      <c r="BF33" s="844"/>
      <c r="BG33" s="846"/>
      <c r="BH33" s="838"/>
      <c r="BI33" s="875"/>
      <c r="BJ33" s="788"/>
      <c r="BK33" s="787"/>
      <c r="BL33" s="830"/>
      <c r="BM33" s="830"/>
      <c r="BN33" s="1069"/>
      <c r="BO33" s="1071"/>
      <c r="BP33" s="816"/>
      <c r="BQ33" s="816"/>
      <c r="BR33" s="788"/>
      <c r="BS33" s="854"/>
    </row>
    <row r="34" spans="2:71" ht="15.95" customHeight="1">
      <c r="B34" s="800">
        <v>9</v>
      </c>
      <c r="C34" s="1091"/>
      <c r="D34" s="1092"/>
      <c r="E34" s="1092"/>
      <c r="F34" s="1092"/>
      <c r="G34" s="1092"/>
      <c r="H34" s="1092"/>
      <c r="I34" s="1092"/>
      <c r="J34" s="1092"/>
      <c r="K34" s="1092"/>
      <c r="L34" s="1083"/>
      <c r="M34" s="1083"/>
      <c r="N34" s="1083"/>
      <c r="O34" s="1083"/>
      <c r="P34" s="1121"/>
      <c r="Q34" s="1120"/>
      <c r="R34" s="1086"/>
      <c r="S34" s="1086"/>
      <c r="T34" s="1083"/>
      <c r="U34" s="1083"/>
      <c r="V34" s="1083"/>
      <c r="W34" s="1083"/>
      <c r="X34" s="1121"/>
      <c r="Y34" s="1120"/>
      <c r="Z34" s="1086"/>
      <c r="AA34" s="1086"/>
      <c r="AB34" s="1093"/>
      <c r="AC34" s="1093"/>
      <c r="AD34" s="1094"/>
      <c r="AE34" s="1095"/>
      <c r="AF34" s="1096"/>
      <c r="AG34" s="1096"/>
      <c r="AH34" s="1103" t="str">
        <f t="shared" ref="AH34" si="51">IF(OR(C34="",L34="",Q34="",T34="",Y34="",AB34="",AE34=""),"",ROUND(AE34-AB34,2))</f>
        <v/>
      </c>
      <c r="AI34" s="1103"/>
      <c r="AJ34" s="1104"/>
      <c r="AK34" s="831" t="str">
        <f t="shared" ref="AK34" si="52">IF(OR(C34="",L34="",Q34="",T34="",Y34="",AB34="",AE34=""),"",IF(BD34-BE34&lt;=0,0,ROUND(BD34-BE34,0)))</f>
        <v/>
      </c>
      <c r="AL34" s="831"/>
      <c r="AM34" s="831"/>
      <c r="AN34" s="1097" t="str">
        <f>IF(OR(C34="",L34="",Q34="",T34="",Y34="",AB34="",AE34=""),"",
IF(BQ34&lt;&gt;"",BQ34,IF(BS34&gt;0,BS34,
IF(ACTIVEBLOCK_N="Yes",ROUND(MIN(AH34*INCCOSTCAP,AK34*BLOCKBIDRATE),2),
ROUND(MIN(AH34*INCCOSTCAP,BJ34),2))
)))</f>
        <v/>
      </c>
      <c r="AO34" s="1098"/>
      <c r="AP34" s="1098"/>
      <c r="AQ34" s="1099"/>
      <c r="AY34" s="835" t="str">
        <f t="shared" ref="AY34" si="53">IFERROR(IF(OR(C34="",L34="",Q34="",T34="",Y34="",AB34="",AE34=""),"",ROUND(BR34/AH34,2)),0)</f>
        <v/>
      </c>
      <c r="AZ34" s="835" t="str">
        <f>IFERROR(AH34/N02S03F14/AK34,"")</f>
        <v/>
      </c>
      <c r="BA34" s="815" t="str">
        <f>IF(C34="","",INDEX(CMECOOK_N[Unit of Measure],MATCH(C34,CMECOOK_N[Proj Desc 1],0)))</f>
        <v/>
      </c>
      <c r="BB34" s="849" t="str">
        <f t="shared" ref="BB34" si="54">IF(AK34&lt;&gt;"","Missing!","")</f>
        <v/>
      </c>
      <c r="BC34" s="849" t="str">
        <f t="shared" ref="BC34" si="55">IF(AK34&lt;&gt;"","Missing!","")</f>
        <v/>
      </c>
      <c r="BD34" s="837" t="str">
        <f t="shared" ref="BD34" si="56">IF(OR(C34="",L34="",Q34="",T34="",Y34="",AB34="",AE34=""),"",ROUND(Q34,0))</f>
        <v/>
      </c>
      <c r="BE34" s="837" t="str">
        <f t="shared" ref="BE34" si="57">IF(OR(C34="",L34="",Q34="",T34="",Y34="",AB34="",AE34=""),"",ROUND(Y34,0))</f>
        <v/>
      </c>
      <c r="BF34" s="843" t="str">
        <f>IF(C34="","",IF(INDEX(CMECOOK_N[EUL],MATCH(C34,CMECOOK_N[Proj Desc 1],0))="","",INDEX(CMECOOK_N[EUL],MATCH(C34,CMECOOK_N[Proj Desc 1],0))))</f>
        <v/>
      </c>
      <c r="BG34" s="845" t="str">
        <f>IF(C34="","",IF(INDEX(CMECOOK_N[End Use Category],MATCH(C34,CMECOOK_N[Proj Desc 1],0))="","",INDEX(CMECOOK_N[End Use Category],MATCH(C34,CMECOOK_N[Proj Desc 1],0))))</f>
        <v/>
      </c>
      <c r="BH34" s="837" t="str">
        <f>IFERROR(IF(OR(C34="",L34="",Q34="",T34="",Y34="",AB34="",AE34=""),"",ROUND(AK34*INDEX(ENDUSEALL[Factor],MATCH(BG34,ENDUSEALL[End Use to Coincident Peak Demand Factors],0)),4)),"")</f>
        <v/>
      </c>
      <c r="BI34" s="874"/>
      <c r="BJ34" s="787" t="str">
        <f>IFERROR(ROUND(AK34*BK34,2),"")</f>
        <v/>
      </c>
      <c r="BK34" s="1067" t="str">
        <f>_xlfn.LET(_xlpm.ROWS,MATCH(BG34,ENDUSEALL[End Use to Coincident Peak Demand Factors],0),IFERROR(INDEX(IF(AND(ACTIVEBONUS_N = TRUE,INDEX(ENDUSEALL[Bonus Rate ($/kWh)],_xlpm.ROWS)&lt;&gt;""),ENDUSEALL[Bonus Rate ($/kWh)],ENDUSEALL[Rate ($/kWh)]),_xlpm.ROWS),""))</f>
        <v/>
      </c>
      <c r="BL34" s="829"/>
      <c r="BM34" s="829"/>
      <c r="BN34" s="1068" t="str">
        <f>_xlfn.LET(_xlpm.BONUS_RATE,INDEX(ENDUSEALL[Bonus Rate ($/kWh)],MATCH(BG34,ENDUSEALL[End Use to Coincident Peak Demand Factors],0)),_xlpm.BASE_RATE,INDEX(ENDUSEALL[Rate ($/kWh)],MATCH(BG34,ENDUSEALL[End Use to Coincident Peak Demand Factors],0)),IFERROR(IF(OR(ACTIVEBONUS_N &lt;&gt; TRUE,ISNUMBER(AN34) = FALSE,BS34 &lt;&gt; ""),"",AN34-(AK34*_xlpm.BASE_RATE)),""))</f>
        <v/>
      </c>
      <c r="BO34" s="1070" t="str">
        <f>IF(OR(C34="",L34="",Q34="",T34="",Y34="",AB34="",AE34=""),"",IF(BQ34&lt;&gt;"",SPILLOVERNUMBER,INDEX(CMECOOK_N[Measure Number],MATCH(C34,CMECOOK_N[Proj Desc 1],0))))</f>
        <v/>
      </c>
      <c r="BP34" s="815" t="str">
        <f>IFERROR(
IF(BS34="",
IF(AND(ROUND(AN34/AH34,2)=INCCOSTCAP,BJ34/AH34&gt;INCCOSTCAP),
"100% Incremental Cost",
IF(BK34&lt;KWHRATEMIN,
"kWh Incentive Rate Min",
IF(BK34&gt;KWHRATEMAX,
"kWh Incentive Rate Cap",
IF(AN34=BN34,
"Bonus Incentive",
"kWh Incentive"
)))),""),
"")</f>
        <v/>
      </c>
      <c r="BQ34" s="815" t="str">
        <f ca="1">IFERROR(IF(EXPIRATION&lt;&gt;"",PROJSTATEXP,
IF(BS34&gt;0,"",
IF(BD34-BE34&lt;=0,MEASURESAVE,
IF(OR(N02S03F14="",N02S03F14="Select Rate Code",N02S03F14=0),MEASURERATE,
IF(AND(ISNUMBER(SEARCH("Others",C34)),OR(BF34="",BG34="")),MEASURESUBMIT,
IF(AH34&lt;=0,MEASUREINCR,
IF(PAYPROJ_N&lt;PAYBACKREQ,PROJECTSTATPAYBACK,
IF(CBPROJ_N&lt;CBREQ,PROJECTSTATCB,"")))))))),MEASURESUBMIT)</f>
        <v>Submit for Review</v>
      </c>
      <c r="BR34" s="787" t="str">
        <f>IFERROR(IF(OR(C34="",L34="",Q34="",T34="",Y34="",AB34="",AE34=""),"",
ROUND(((1+ELOSS)*((AK34*INDEX(ELECCB[NPV AEC $/kWh],MATCH(BF34,ELECCB[Year Number],1)))+(BH34*INDEX(ELECCB[NPV ACC $/kW],MATCH(BF34,ELECCB[Year Number],1))))),2)),0)</f>
        <v/>
      </c>
      <c r="BS34" s="853"/>
    </row>
    <row r="35" spans="2:71" ht="15.95" customHeight="1">
      <c r="B35" s="800"/>
      <c r="C35" s="1091"/>
      <c r="D35" s="1092"/>
      <c r="E35" s="1092"/>
      <c r="F35" s="1092"/>
      <c r="G35" s="1092"/>
      <c r="H35" s="1092"/>
      <c r="I35" s="1092"/>
      <c r="J35" s="1092"/>
      <c r="K35" s="1092"/>
      <c r="L35" s="1081"/>
      <c r="M35" s="1081"/>
      <c r="N35" s="1081"/>
      <c r="O35" s="1081"/>
      <c r="P35" s="1119"/>
      <c r="Q35" s="1117"/>
      <c r="R35" s="1078"/>
      <c r="S35" s="1078"/>
      <c r="T35" s="1081"/>
      <c r="U35" s="1081"/>
      <c r="V35" s="1081"/>
      <c r="W35" s="1081"/>
      <c r="X35" s="1119"/>
      <c r="Y35" s="1117"/>
      <c r="Z35" s="1078"/>
      <c r="AA35" s="1078"/>
      <c r="AB35" s="1093"/>
      <c r="AC35" s="1093"/>
      <c r="AD35" s="1094"/>
      <c r="AE35" s="1095"/>
      <c r="AF35" s="1096"/>
      <c r="AG35" s="1096"/>
      <c r="AH35" s="1105"/>
      <c r="AI35" s="1105"/>
      <c r="AJ35" s="1106"/>
      <c r="AK35" s="832"/>
      <c r="AL35" s="832"/>
      <c r="AM35" s="832"/>
      <c r="AN35" s="1100"/>
      <c r="AO35" s="1101"/>
      <c r="AP35" s="1101"/>
      <c r="AQ35" s="1102"/>
      <c r="AY35" s="836"/>
      <c r="AZ35" s="836"/>
      <c r="BA35" s="816"/>
      <c r="BB35" s="850"/>
      <c r="BC35" s="850"/>
      <c r="BD35" s="838"/>
      <c r="BE35" s="838"/>
      <c r="BF35" s="844"/>
      <c r="BG35" s="846"/>
      <c r="BH35" s="838"/>
      <c r="BI35" s="875"/>
      <c r="BJ35" s="788"/>
      <c r="BK35" s="787"/>
      <c r="BL35" s="830"/>
      <c r="BM35" s="830"/>
      <c r="BN35" s="1069"/>
      <c r="BO35" s="1071"/>
      <c r="BP35" s="816"/>
      <c r="BQ35" s="816"/>
      <c r="BR35" s="788"/>
      <c r="BS35" s="854"/>
    </row>
    <row r="36" spans="2:71" ht="15.95" customHeight="1">
      <c r="B36" s="800">
        <v>10</v>
      </c>
      <c r="C36" s="1091"/>
      <c r="D36" s="1092"/>
      <c r="E36" s="1092"/>
      <c r="F36" s="1092"/>
      <c r="G36" s="1092"/>
      <c r="H36" s="1092"/>
      <c r="I36" s="1092"/>
      <c r="J36" s="1092"/>
      <c r="K36" s="1092"/>
      <c r="L36" s="1083"/>
      <c r="M36" s="1083"/>
      <c r="N36" s="1083"/>
      <c r="O36" s="1083"/>
      <c r="P36" s="1121"/>
      <c r="Q36" s="1120"/>
      <c r="R36" s="1086"/>
      <c r="S36" s="1086"/>
      <c r="T36" s="1083"/>
      <c r="U36" s="1083"/>
      <c r="V36" s="1083"/>
      <c r="W36" s="1083"/>
      <c r="X36" s="1121"/>
      <c r="Y36" s="1120"/>
      <c r="Z36" s="1086"/>
      <c r="AA36" s="1086"/>
      <c r="AB36" s="1093"/>
      <c r="AC36" s="1093"/>
      <c r="AD36" s="1094"/>
      <c r="AE36" s="1095"/>
      <c r="AF36" s="1096"/>
      <c r="AG36" s="1096"/>
      <c r="AH36" s="1103" t="str">
        <f t="shared" ref="AH36" si="58">IF(OR(C36="",L36="",Q36="",T36="",Y36="",AB36="",AE36=""),"",ROUND(AE36-AB36,2))</f>
        <v/>
      </c>
      <c r="AI36" s="1103"/>
      <c r="AJ36" s="1104"/>
      <c r="AK36" s="831" t="str">
        <f t="shared" ref="AK36" si="59">IF(OR(C36="",L36="",Q36="",T36="",Y36="",AB36="",AE36=""),"",IF(BD36-BE36&lt;=0,0,ROUND(BD36-BE36,0)))</f>
        <v/>
      </c>
      <c r="AL36" s="831"/>
      <c r="AM36" s="831"/>
      <c r="AN36" s="1097" t="str">
        <f>IF(OR(C36="",L36="",Q36="",T36="",Y36="",AB36="",AE36=""),"",
IF(BQ36&lt;&gt;"",BQ36,IF(BS36&gt;0,BS36,
IF(ACTIVEBLOCK_N="Yes",ROUND(MIN(AH36*INCCOSTCAP,AK36*BLOCKBIDRATE),2),
ROUND(MIN(AH36*INCCOSTCAP,BJ36),2))
)))</f>
        <v/>
      </c>
      <c r="AO36" s="1098"/>
      <c r="AP36" s="1098"/>
      <c r="AQ36" s="1099"/>
      <c r="AY36" s="835" t="str">
        <f t="shared" ref="AY36" si="60">IFERROR(IF(OR(C36="",L36="",Q36="",T36="",Y36="",AB36="",AE36=""),"",ROUND(BR36/AH36,2)),0)</f>
        <v/>
      </c>
      <c r="AZ36" s="835" t="str">
        <f>IFERROR(AH36/N02S03F14/AK36,"")</f>
        <v/>
      </c>
      <c r="BA36" s="815" t="str">
        <f>IF(C36="","",INDEX(CMECOOK_N[Unit of Measure],MATCH(C36,CMECOOK_N[Proj Desc 1],0)))</f>
        <v/>
      </c>
      <c r="BB36" s="849" t="str">
        <f t="shared" ref="BB36" si="61">IF(AK36&lt;&gt;"","Missing!","")</f>
        <v/>
      </c>
      <c r="BC36" s="849" t="str">
        <f t="shared" ref="BC36" si="62">IF(AK36&lt;&gt;"","Missing!","")</f>
        <v/>
      </c>
      <c r="BD36" s="837" t="str">
        <f t="shared" ref="BD36" si="63">IF(OR(C36="",L36="",Q36="",T36="",Y36="",AB36="",AE36=""),"",ROUND(Q36,0))</f>
        <v/>
      </c>
      <c r="BE36" s="837" t="str">
        <f t="shared" ref="BE36" si="64">IF(OR(C36="",L36="",Q36="",T36="",Y36="",AB36="",AE36=""),"",ROUND(Y36,0))</f>
        <v/>
      </c>
      <c r="BF36" s="843" t="str">
        <f>IF(C36="","",IF(INDEX(CMECOOK_N[EUL],MATCH(C36,CMECOOK_N[Proj Desc 1],0))="","",INDEX(CMECOOK_N[EUL],MATCH(C36,CMECOOK_N[Proj Desc 1],0))))</f>
        <v/>
      </c>
      <c r="BG36" s="845" t="str">
        <f>IF(C36="","",IF(INDEX(CMECOOK_N[End Use Category],MATCH(C36,CMECOOK_N[Proj Desc 1],0))="","",INDEX(CMECOOK_N[End Use Category],MATCH(C36,CMECOOK_N[Proj Desc 1],0))))</f>
        <v/>
      </c>
      <c r="BH36" s="837" t="str">
        <f>IFERROR(IF(OR(C36="",L36="",Q36="",T36="",Y36="",AB36="",AE36=""),"",ROUND(AK36*INDEX(ENDUSEALL[Factor],MATCH(BG36,ENDUSEALL[End Use to Coincident Peak Demand Factors],0)),4)),"")</f>
        <v/>
      </c>
      <c r="BI36" s="874"/>
      <c r="BJ36" s="787" t="str">
        <f>IFERROR(ROUND(AK36*BK36,2),"")</f>
        <v/>
      </c>
      <c r="BK36" s="1067" t="str">
        <f>_xlfn.LET(_xlpm.ROWS,MATCH(BG36,ENDUSEALL[End Use to Coincident Peak Demand Factors],0),IFERROR(INDEX(IF(AND(ACTIVEBONUS_N = TRUE,INDEX(ENDUSEALL[Bonus Rate ($/kWh)],_xlpm.ROWS)&lt;&gt;""),ENDUSEALL[Bonus Rate ($/kWh)],ENDUSEALL[Rate ($/kWh)]),_xlpm.ROWS),""))</f>
        <v/>
      </c>
      <c r="BL36" s="829"/>
      <c r="BM36" s="829"/>
      <c r="BN36" s="1068" t="str">
        <f>_xlfn.LET(_xlpm.BONUS_RATE,INDEX(ENDUSEALL[Bonus Rate ($/kWh)],MATCH(BG36,ENDUSEALL[End Use to Coincident Peak Demand Factors],0)),_xlpm.BASE_RATE,INDEX(ENDUSEALL[Rate ($/kWh)],MATCH(BG36,ENDUSEALL[End Use to Coincident Peak Demand Factors],0)),IFERROR(IF(OR(ACTIVEBONUS_N &lt;&gt; TRUE,ISNUMBER(AN36) = FALSE,BS36 &lt;&gt; ""),"",AN36-(AK36*_xlpm.BASE_RATE)),""))</f>
        <v/>
      </c>
      <c r="BO36" s="1070" t="str">
        <f>IF(OR(C36="",L36="",Q36="",T36="",Y36="",AB36="",AE36=""),"",IF(BQ36&lt;&gt;"",SPILLOVERNUMBER,INDEX(CMECOOK_N[Measure Number],MATCH(C36,CMECOOK_N[Proj Desc 1],0))))</f>
        <v/>
      </c>
      <c r="BP36" s="815" t="str">
        <f>IFERROR(
IF(BS36="",
IF(AND(ROUND(AN36/AH36,2)=INCCOSTCAP,BJ36/AH36&gt;INCCOSTCAP),
"100% Incremental Cost",
IF(BK36&lt;KWHRATEMIN,
"kWh Incentive Rate Min",
IF(BK36&gt;KWHRATEMAX,
"kWh Incentive Rate Cap",
IF(AN36=BN36,
"Bonus Incentive",
"kWh Incentive"
)))),""),
"")</f>
        <v/>
      </c>
      <c r="BQ36" s="815" t="str">
        <f ca="1">IFERROR(IF(EXPIRATION&lt;&gt;"",PROJSTATEXP,
IF(BS36&gt;0,"",
IF(BD36-BE36&lt;=0,MEASURESAVE,
IF(OR(N02S03F14="",N02S03F14="Select Rate Code",N02S03F14=0),MEASURERATE,
IF(AND(ISNUMBER(SEARCH("Others",C36)),OR(BF36="",BG36="")),MEASURESUBMIT,
IF(AH36&lt;=0,MEASUREINCR,
IF(PAYPROJ_N&lt;PAYBACKREQ,PROJECTSTATPAYBACK,
IF(CBPROJ_N&lt;CBREQ,PROJECTSTATCB,"")))))))),MEASURESUBMIT)</f>
        <v>Submit for Review</v>
      </c>
      <c r="BR36" s="787" t="str">
        <f>IFERROR(IF(OR(C36="",L36="",Q36="",T36="",Y36="",AB36="",AE36=""),"",
ROUND(((1+ELOSS)*((AK36*INDEX(ELECCB[NPV AEC $/kWh],MATCH(BF36,ELECCB[Year Number],1)))+(BH36*INDEX(ELECCB[NPV ACC $/kW],MATCH(BF36,ELECCB[Year Number],1))))),2)),0)</f>
        <v/>
      </c>
      <c r="BS36" s="853"/>
    </row>
    <row r="37" spans="2:71" ht="15.95" customHeight="1">
      <c r="B37" s="800"/>
      <c r="C37" s="1091"/>
      <c r="D37" s="1092"/>
      <c r="E37" s="1092"/>
      <c r="F37" s="1092"/>
      <c r="G37" s="1092"/>
      <c r="H37" s="1092"/>
      <c r="I37" s="1092"/>
      <c r="J37" s="1092"/>
      <c r="K37" s="1092"/>
      <c r="L37" s="1081"/>
      <c r="M37" s="1081"/>
      <c r="N37" s="1081"/>
      <c r="O37" s="1081"/>
      <c r="P37" s="1119"/>
      <c r="Q37" s="1117"/>
      <c r="R37" s="1078"/>
      <c r="S37" s="1078"/>
      <c r="T37" s="1081"/>
      <c r="U37" s="1081"/>
      <c r="V37" s="1081"/>
      <c r="W37" s="1081"/>
      <c r="X37" s="1119"/>
      <c r="Y37" s="1117"/>
      <c r="Z37" s="1078"/>
      <c r="AA37" s="1078"/>
      <c r="AB37" s="1093"/>
      <c r="AC37" s="1093"/>
      <c r="AD37" s="1094"/>
      <c r="AE37" s="1095"/>
      <c r="AF37" s="1096"/>
      <c r="AG37" s="1096"/>
      <c r="AH37" s="1105"/>
      <c r="AI37" s="1105"/>
      <c r="AJ37" s="1106"/>
      <c r="AK37" s="832"/>
      <c r="AL37" s="832"/>
      <c r="AM37" s="832"/>
      <c r="AN37" s="1100"/>
      <c r="AO37" s="1101"/>
      <c r="AP37" s="1101"/>
      <c r="AQ37" s="1102"/>
      <c r="AY37" s="836"/>
      <c r="AZ37" s="836"/>
      <c r="BA37" s="816"/>
      <c r="BB37" s="850"/>
      <c r="BC37" s="850"/>
      <c r="BD37" s="838"/>
      <c r="BE37" s="838"/>
      <c r="BF37" s="844"/>
      <c r="BG37" s="846"/>
      <c r="BH37" s="838"/>
      <c r="BI37" s="875"/>
      <c r="BJ37" s="788"/>
      <c r="BK37" s="787"/>
      <c r="BL37" s="830"/>
      <c r="BM37" s="830"/>
      <c r="BN37" s="1069"/>
      <c r="BO37" s="1071"/>
      <c r="BP37" s="816"/>
      <c r="BQ37" s="816"/>
      <c r="BR37" s="788"/>
      <c r="BS37" s="854"/>
    </row>
    <row r="38" spans="2:71" ht="15.95" customHeight="1">
      <c r="B38" s="800"/>
    </row>
    <row r="39" spans="2:71" ht="15.95" hidden="1" customHeight="1">
      <c r="B39" s="800"/>
    </row>
    <row r="40" spans="2:71" ht="15.95" hidden="1" customHeight="1">
      <c r="B40" s="800"/>
    </row>
    <row r="41" spans="2:71" ht="15.95" hidden="1" customHeight="1">
      <c r="B41" s="800"/>
    </row>
    <row r="42" spans="2:71" ht="15.95" hidden="1" customHeight="1">
      <c r="B42" s="800"/>
    </row>
    <row r="43" spans="2:71" ht="15.95" hidden="1" customHeight="1">
      <c r="B43" s="800"/>
    </row>
    <row r="44" spans="2:71" ht="15.95" hidden="1" customHeight="1">
      <c r="B44" s="800"/>
    </row>
    <row r="45" spans="2:71" ht="15.95" hidden="1" customHeight="1">
      <c r="B45" s="800"/>
    </row>
    <row r="46" spans="2:71" ht="15.95" hidden="1" customHeight="1">
      <c r="B46" s="800"/>
    </row>
    <row r="47" spans="2:71" ht="15.95" hidden="1" customHeight="1">
      <c r="B47" s="800"/>
    </row>
    <row r="48" spans="2:71" ht="15.95" hidden="1" customHeight="1">
      <c r="AZ48" s="25"/>
      <c r="BA48" s="31"/>
      <c r="BD48" s="31"/>
      <c r="BE48" s="31"/>
    </row>
    <row r="49" spans="52:57" ht="15.95" hidden="1" customHeight="1">
      <c r="AZ49" s="25"/>
      <c r="BA49" s="31"/>
      <c r="BD49" s="31"/>
      <c r="BE49" s="31"/>
    </row>
    <row r="50" spans="52:57" ht="15.95" hidden="1" customHeight="1">
      <c r="AZ50" s="25"/>
      <c r="BA50" s="31"/>
      <c r="BD50" s="31"/>
      <c r="BE50" s="31"/>
    </row>
    <row r="51" spans="52:57" ht="15.95" hidden="1" customHeight="1">
      <c r="AZ51" s="25"/>
      <c r="BA51" s="31"/>
      <c r="BD51" s="31"/>
      <c r="BE51" s="31"/>
    </row>
    <row r="52" spans="52:57" ht="15.95" hidden="1" customHeight="1">
      <c r="AZ52" s="25"/>
      <c r="BA52" s="31"/>
      <c r="BD52" s="31"/>
      <c r="BE52" s="31"/>
    </row>
    <row r="53" spans="52:57" ht="15.95" hidden="1" customHeight="1">
      <c r="AZ53" s="25"/>
      <c r="BA53" s="31"/>
      <c r="BD53" s="31"/>
      <c r="BE53" s="31"/>
    </row>
    <row r="54" spans="52:57" ht="15.95" hidden="1" customHeight="1">
      <c r="AZ54" s="25"/>
      <c r="BA54" s="31"/>
      <c r="BD54" s="31"/>
      <c r="BE54" s="31"/>
    </row>
    <row r="55" spans="52:57" ht="15.95" hidden="1" customHeight="1">
      <c r="AZ55" s="25"/>
      <c r="BA55" s="31"/>
      <c r="BD55" s="31"/>
      <c r="BE55" s="31"/>
    </row>
    <row r="56" spans="52:57" ht="15.95" hidden="1" customHeight="1">
      <c r="AZ56" s="25"/>
      <c r="BA56" s="31"/>
      <c r="BD56" s="31"/>
      <c r="BE56" s="31"/>
    </row>
    <row r="57" spans="52:57" ht="15.95" hidden="1" customHeight="1">
      <c r="AZ57" s="25"/>
      <c r="BA57" s="31"/>
      <c r="BD57" s="31"/>
      <c r="BE57" s="31"/>
    </row>
    <row r="58" spans="52:57" ht="15.95" hidden="1" customHeight="1">
      <c r="AZ58" s="25"/>
      <c r="BA58" s="31"/>
      <c r="BD58" s="31"/>
      <c r="BE58" s="31"/>
    </row>
    <row r="59" spans="52:57" ht="15.95" hidden="1" customHeight="1">
      <c r="AZ59" s="25"/>
      <c r="BA59" s="31"/>
      <c r="BD59" s="31"/>
      <c r="BE59" s="31"/>
    </row>
    <row r="60" spans="52:57" ht="15.95" hidden="1" customHeight="1">
      <c r="AZ60" s="25"/>
      <c r="BA60" s="31"/>
      <c r="BD60" s="31"/>
      <c r="BE60" s="31"/>
    </row>
    <row r="61" spans="52:57" ht="15.95" hidden="1" customHeight="1">
      <c r="AZ61" s="25"/>
      <c r="BA61" s="31"/>
      <c r="BD61" s="31"/>
      <c r="BE61" s="31"/>
    </row>
    <row r="62" spans="52:57" ht="15.95" hidden="1" customHeight="1">
      <c r="AZ62" s="25"/>
      <c r="BA62" s="31"/>
      <c r="BD62" s="31"/>
      <c r="BE62" s="31"/>
    </row>
    <row r="63" spans="52:57" ht="15.95" hidden="1" customHeight="1">
      <c r="AZ63" s="25"/>
      <c r="BA63" s="31"/>
      <c r="BD63" s="31"/>
      <c r="BE63" s="31"/>
    </row>
    <row r="64" spans="52:57" ht="15.95" hidden="1" customHeight="1">
      <c r="AZ64" s="25"/>
      <c r="BA64" s="31"/>
      <c r="BD64" s="31"/>
      <c r="BE64" s="31"/>
    </row>
    <row r="65" spans="52:57" ht="15.95" hidden="1" customHeight="1">
      <c r="AZ65" s="25"/>
      <c r="BA65" s="31"/>
      <c r="BD65" s="31"/>
      <c r="BE65" s="31"/>
    </row>
    <row r="66" spans="52:57" ht="15.95" hidden="1" customHeight="1">
      <c r="AZ66" s="25"/>
      <c r="BA66" s="31"/>
      <c r="BD66" s="31"/>
      <c r="BE66" s="31"/>
    </row>
    <row r="67" spans="52:57" ht="15.95" hidden="1" customHeight="1">
      <c r="AZ67" s="25"/>
      <c r="BA67" s="31"/>
      <c r="BD67" s="31"/>
      <c r="BE67" s="31"/>
    </row>
    <row r="68" spans="52:57" ht="15.95" hidden="1" customHeight="1">
      <c r="AZ68" s="25"/>
      <c r="BA68" s="31"/>
      <c r="BD68" s="31"/>
      <c r="BE68" s="31"/>
    </row>
    <row r="69" spans="52:57" ht="15.95" hidden="1" customHeight="1">
      <c r="AZ69" s="25"/>
      <c r="BA69" s="31"/>
      <c r="BD69" s="31"/>
      <c r="BE69" s="31"/>
    </row>
    <row r="70" spans="52:57" ht="15.95" hidden="1" customHeight="1">
      <c r="AZ70" s="25"/>
      <c r="BA70" s="31"/>
      <c r="BD70" s="31"/>
      <c r="BE70" s="31"/>
    </row>
    <row r="71" spans="52:57" ht="15.95" hidden="1" customHeight="1">
      <c r="AZ71" s="25"/>
      <c r="BA71" s="31"/>
      <c r="BD71" s="31"/>
      <c r="BE71" s="31"/>
    </row>
    <row r="72" spans="52:57" ht="15.95" hidden="1" customHeight="1">
      <c r="AZ72" s="25"/>
      <c r="BA72" s="31"/>
      <c r="BD72" s="31"/>
      <c r="BE72" s="31"/>
    </row>
    <row r="73" spans="52:57" ht="15.95" hidden="1" customHeight="1">
      <c r="AZ73" s="25"/>
      <c r="BA73" s="31"/>
      <c r="BD73" s="31"/>
      <c r="BE73" s="31"/>
    </row>
    <row r="74" spans="52:57" ht="15.95" hidden="1" customHeight="1">
      <c r="AZ74" s="25"/>
      <c r="BA74" s="31"/>
      <c r="BD74" s="31"/>
      <c r="BE74" s="31"/>
    </row>
    <row r="75" spans="52:57" ht="15.95" hidden="1" customHeight="1">
      <c r="AZ75" s="25"/>
      <c r="BA75" s="31"/>
      <c r="BD75" s="31"/>
      <c r="BE75" s="31"/>
    </row>
    <row r="76" spans="52:57" ht="15.95" hidden="1" customHeight="1">
      <c r="AZ76" s="25"/>
      <c r="BA76" s="31"/>
      <c r="BD76" s="31"/>
      <c r="BE76" s="31"/>
    </row>
    <row r="77" spans="52:57" ht="15.95" hidden="1" customHeight="1">
      <c r="AZ77" s="25"/>
      <c r="BA77" s="31"/>
      <c r="BD77" s="31"/>
      <c r="BE77" s="31"/>
    </row>
    <row r="78" spans="52:57" ht="15.95" hidden="1" customHeight="1">
      <c r="AZ78" s="25"/>
      <c r="BA78" s="31"/>
      <c r="BD78" s="31"/>
      <c r="BE78" s="31"/>
    </row>
    <row r="79" spans="52:57" ht="15.95" hidden="1" customHeight="1">
      <c r="AZ79" s="25"/>
      <c r="BA79" s="31"/>
      <c r="BD79" s="31"/>
      <c r="BE79" s="31"/>
    </row>
    <row r="80" spans="52:57" ht="15.95" hidden="1" customHeight="1">
      <c r="AZ80" s="25"/>
      <c r="BA80" s="31"/>
      <c r="BD80" s="31"/>
      <c r="BE80" s="31"/>
    </row>
    <row r="81" spans="52:57" ht="15.95" hidden="1" customHeight="1">
      <c r="AZ81" s="25"/>
      <c r="BA81" s="31"/>
      <c r="BD81" s="31"/>
      <c r="BE81" s="31"/>
    </row>
    <row r="82" spans="52:57" ht="15.95" hidden="1" customHeight="1">
      <c r="AZ82" s="25"/>
      <c r="BA82" s="31"/>
      <c r="BD82" s="31"/>
      <c r="BE82" s="31"/>
    </row>
    <row r="83" spans="52:57" ht="15.95" hidden="1" customHeight="1">
      <c r="AZ83" s="25"/>
      <c r="BA83" s="31"/>
      <c r="BD83" s="31"/>
      <c r="BE83" s="31"/>
    </row>
    <row r="84" spans="52:57" ht="15.95" hidden="1" customHeight="1">
      <c r="AZ84" s="25"/>
      <c r="BA84" s="31"/>
      <c r="BD84" s="31"/>
      <c r="BE84" s="31"/>
    </row>
    <row r="85" spans="52:57" ht="15.95" hidden="1" customHeight="1">
      <c r="AZ85" s="25"/>
      <c r="BA85" s="31"/>
      <c r="BD85" s="31"/>
      <c r="BE85" s="31"/>
    </row>
    <row r="86" spans="52:57" ht="15.95" hidden="1" customHeight="1">
      <c r="AZ86" s="25"/>
      <c r="BA86" s="31"/>
      <c r="BD86" s="31"/>
      <c r="BE86" s="31"/>
    </row>
    <row r="87" spans="52:57" ht="15.95" hidden="1" customHeight="1">
      <c r="AZ87" s="25"/>
      <c r="BA87" s="31"/>
      <c r="BD87" s="31"/>
      <c r="BE87" s="31"/>
    </row>
    <row r="88" spans="52:57" ht="15.95" hidden="1" customHeight="1">
      <c r="AZ88" s="25"/>
      <c r="BA88" s="31"/>
      <c r="BD88" s="31"/>
      <c r="BE88" s="31"/>
    </row>
    <row r="89" spans="52:57" ht="15.95" hidden="1" customHeight="1">
      <c r="AZ89" s="25"/>
      <c r="BA89" s="31"/>
      <c r="BD89" s="31"/>
      <c r="BE89" s="31"/>
    </row>
    <row r="90" spans="52:57" ht="15.95" hidden="1" customHeight="1">
      <c r="AZ90" s="25"/>
      <c r="BA90" s="31"/>
      <c r="BD90" s="31"/>
      <c r="BE90" s="31"/>
    </row>
    <row r="91" spans="52:57" ht="15.95" hidden="1" customHeight="1">
      <c r="AZ91" s="25"/>
      <c r="BA91" s="31"/>
      <c r="BD91" s="31"/>
      <c r="BE91" s="31"/>
    </row>
    <row r="92" spans="52:57" ht="15.95" hidden="1" customHeight="1">
      <c r="AZ92" s="25"/>
      <c r="BA92" s="31"/>
      <c r="BD92" s="31"/>
      <c r="BE92" s="31"/>
    </row>
    <row r="93" spans="52:57" ht="15.95" hidden="1" customHeight="1">
      <c r="AZ93" s="25"/>
      <c r="BA93" s="31"/>
      <c r="BD93" s="31"/>
      <c r="BE93" s="31"/>
    </row>
    <row r="94" spans="52:57" ht="15.95" hidden="1" customHeight="1">
      <c r="AZ94" s="25"/>
      <c r="BA94" s="31"/>
      <c r="BD94" s="31"/>
      <c r="BE94" s="31"/>
    </row>
    <row r="95" spans="52:57" ht="15.95" hidden="1" customHeight="1">
      <c r="AZ95" s="25"/>
      <c r="BA95" s="31"/>
      <c r="BD95" s="31"/>
      <c r="BE95" s="31"/>
    </row>
    <row r="96" spans="52:57" ht="15.95" hidden="1" customHeight="1">
      <c r="AZ96" s="25"/>
      <c r="BA96" s="31"/>
      <c r="BD96" s="31"/>
      <c r="BE96" s="31"/>
    </row>
    <row r="97" spans="52:57" ht="15.95" hidden="1" customHeight="1">
      <c r="AZ97" s="25"/>
      <c r="BA97" s="31"/>
      <c r="BD97" s="31"/>
      <c r="BE97" s="31"/>
    </row>
    <row r="98" spans="52:57" ht="15.95" hidden="1" customHeight="1">
      <c r="AZ98" s="25"/>
      <c r="BA98" s="31"/>
      <c r="BD98" s="31"/>
      <c r="BE98" s="31"/>
    </row>
    <row r="99" spans="52:57" ht="15.95" hidden="1" customHeight="1">
      <c r="AZ99" s="25"/>
      <c r="BA99" s="31"/>
      <c r="BD99" s="31"/>
      <c r="BE99" s="31"/>
    </row>
    <row r="100" spans="52:57" ht="15.95" hidden="1" customHeight="1">
      <c r="AZ100" s="25"/>
      <c r="BA100" s="31"/>
      <c r="BD100" s="31"/>
      <c r="BE100" s="31"/>
    </row>
    <row r="101" spans="52:57" ht="15.95" hidden="1" customHeight="1">
      <c r="AZ101" s="25"/>
      <c r="BA101" s="31"/>
      <c r="BD101" s="31"/>
      <c r="BE101" s="31"/>
    </row>
    <row r="102" spans="52:57" ht="15.95" hidden="1" customHeight="1">
      <c r="AZ102" s="25"/>
      <c r="BA102" s="31"/>
      <c r="BD102" s="31"/>
      <c r="BE102" s="31"/>
    </row>
    <row r="103" spans="52:57" ht="15.95" hidden="1" customHeight="1">
      <c r="AZ103" s="25"/>
      <c r="BA103" s="31"/>
      <c r="BD103" s="31"/>
      <c r="BE103" s="31"/>
    </row>
    <row r="104" spans="52:57" ht="15.95" hidden="1" customHeight="1">
      <c r="AZ104" s="25"/>
      <c r="BA104" s="31"/>
      <c r="BD104" s="31"/>
      <c r="BE104" s="31"/>
    </row>
    <row r="105" spans="52:57" ht="15.95" hidden="1" customHeight="1">
      <c r="AZ105" s="25"/>
      <c r="BA105" s="31"/>
      <c r="BD105" s="31"/>
      <c r="BE105" s="31"/>
    </row>
    <row r="106" spans="52:57" ht="15.95" hidden="1" customHeight="1">
      <c r="AZ106" s="25"/>
      <c r="BA106" s="31"/>
      <c r="BD106" s="31"/>
      <c r="BE106" s="31"/>
    </row>
    <row r="107" spans="52:57" ht="15.95" hidden="1" customHeight="1">
      <c r="AZ107" s="25"/>
      <c r="BA107" s="31"/>
      <c r="BD107" s="31"/>
      <c r="BE107" s="31"/>
    </row>
    <row r="108" spans="52:57" ht="15.95" hidden="1" customHeight="1">
      <c r="AZ108" s="25"/>
      <c r="BA108" s="31"/>
      <c r="BD108" s="31"/>
      <c r="BE108" s="31"/>
    </row>
    <row r="109" spans="52:57" ht="15.95" hidden="1" customHeight="1">
      <c r="AZ109" s="25"/>
      <c r="BA109" s="31"/>
      <c r="BD109" s="31"/>
      <c r="BE109" s="31"/>
    </row>
    <row r="110" spans="52:57" ht="15.95" hidden="1" customHeight="1">
      <c r="AZ110" s="25"/>
      <c r="BA110" s="31"/>
      <c r="BD110" s="31"/>
      <c r="BE110" s="31"/>
    </row>
    <row r="111" spans="52:57" ht="15.95" hidden="1" customHeight="1">
      <c r="AZ111" s="25"/>
      <c r="BA111" s="31"/>
      <c r="BD111" s="31"/>
      <c r="BE111" s="31"/>
    </row>
    <row r="112" spans="52:57" ht="15.95" hidden="1" customHeight="1">
      <c r="AZ112" s="25"/>
      <c r="BA112" s="31"/>
      <c r="BD112" s="31"/>
      <c r="BE112" s="31"/>
    </row>
    <row r="113" spans="52:57" ht="15.95" hidden="1" customHeight="1">
      <c r="AZ113" s="25"/>
      <c r="BA113" s="31"/>
      <c r="BD113" s="31"/>
      <c r="BE113" s="31"/>
    </row>
    <row r="114" spans="52:57" ht="15.95" hidden="1" customHeight="1">
      <c r="AZ114" s="25"/>
      <c r="BA114" s="31"/>
      <c r="BD114" s="31"/>
      <c r="BE114" s="31"/>
    </row>
    <row r="115" spans="52:57" ht="15.95" hidden="1" customHeight="1">
      <c r="AZ115" s="25"/>
      <c r="BA115" s="31"/>
      <c r="BD115" s="31"/>
      <c r="BE115" s="31"/>
    </row>
    <row r="116" spans="52:57" ht="15.95" hidden="1" customHeight="1">
      <c r="AZ116" s="25"/>
      <c r="BA116" s="31"/>
      <c r="BD116" s="31"/>
      <c r="BE116" s="31"/>
    </row>
    <row r="117" spans="52:57" ht="15.95" hidden="1" customHeight="1">
      <c r="AZ117" s="25"/>
      <c r="BA117" s="31"/>
      <c r="BD117" s="31"/>
      <c r="BE117" s="31"/>
    </row>
    <row r="118" spans="52:57" ht="15.95" hidden="1" customHeight="1">
      <c r="AZ118" s="25"/>
      <c r="BA118" s="31"/>
      <c r="BD118" s="31"/>
      <c r="BE118" s="31"/>
    </row>
    <row r="119" spans="52:57" ht="15.95" hidden="1" customHeight="1">
      <c r="AZ119" s="25"/>
      <c r="BA119" s="31"/>
      <c r="BD119" s="31"/>
      <c r="BE119" s="31"/>
    </row>
    <row r="120" spans="52:57" ht="15.95" hidden="1" customHeight="1">
      <c r="AZ120" s="25"/>
      <c r="BA120" s="31"/>
      <c r="BD120" s="31"/>
      <c r="BE120" s="31"/>
    </row>
    <row r="121" spans="52:57" ht="15.95" hidden="1" customHeight="1">
      <c r="AZ121" s="25"/>
      <c r="BA121" s="31"/>
      <c r="BD121" s="31"/>
      <c r="BE121" s="31"/>
    </row>
    <row r="122" spans="52:57" ht="15.95" hidden="1" customHeight="1">
      <c r="AZ122" s="25"/>
      <c r="BA122" s="31"/>
      <c r="BD122" s="31"/>
      <c r="BE122" s="31"/>
    </row>
    <row r="123" spans="52:57" ht="15.95" hidden="1" customHeight="1">
      <c r="AZ123" s="25"/>
      <c r="BA123" s="31"/>
      <c r="BD123" s="31"/>
      <c r="BE123" s="31"/>
    </row>
    <row r="124" spans="52:57" ht="15.95" hidden="1" customHeight="1">
      <c r="AZ124" s="25"/>
      <c r="BA124" s="31"/>
      <c r="BD124" s="31"/>
      <c r="BE124" s="31"/>
    </row>
    <row r="125" spans="52:57" ht="15.95" hidden="1" customHeight="1">
      <c r="AZ125" s="25"/>
      <c r="BA125" s="31"/>
      <c r="BD125" s="31"/>
      <c r="BE125" s="31"/>
    </row>
    <row r="126" spans="52:57" ht="15.95" hidden="1" customHeight="1">
      <c r="AZ126" s="25"/>
      <c r="BA126" s="31"/>
      <c r="BD126" s="31"/>
      <c r="BE126" s="31"/>
    </row>
    <row r="127" spans="52:57" ht="15.95" hidden="1" customHeight="1">
      <c r="AZ127" s="25"/>
      <c r="BA127" s="31"/>
      <c r="BD127" s="31"/>
      <c r="BE127" s="31"/>
    </row>
    <row r="128" spans="52:57" ht="15.95" hidden="1" customHeight="1">
      <c r="AZ128" s="25"/>
      <c r="BA128" s="31"/>
      <c r="BD128" s="31"/>
      <c r="BE128" s="31"/>
    </row>
    <row r="129" spans="52:57" ht="15.95" hidden="1" customHeight="1">
      <c r="AZ129" s="25"/>
      <c r="BA129" s="31"/>
      <c r="BD129" s="31"/>
      <c r="BE129" s="31"/>
    </row>
    <row r="130" spans="52:57" ht="15.95" hidden="1" customHeight="1">
      <c r="AZ130" s="25"/>
      <c r="BA130" s="31"/>
      <c r="BD130" s="31"/>
      <c r="BE130" s="31"/>
    </row>
    <row r="131" spans="52:57" ht="15.95" hidden="1" customHeight="1">
      <c r="AZ131" s="25"/>
      <c r="BA131" s="31"/>
      <c r="BD131" s="31"/>
      <c r="BE131" s="31"/>
    </row>
    <row r="132" spans="52:57" ht="15.95" hidden="1" customHeight="1">
      <c r="AZ132" s="25"/>
      <c r="BA132" s="31"/>
      <c r="BD132" s="31"/>
      <c r="BE132" s="31"/>
    </row>
    <row r="133" spans="52:57" ht="15.95" hidden="1" customHeight="1">
      <c r="AZ133" s="25"/>
      <c r="BA133" s="31"/>
      <c r="BD133" s="31"/>
      <c r="BE133" s="31"/>
    </row>
    <row r="134" spans="52:57" ht="15.95" hidden="1" customHeight="1">
      <c r="AZ134" s="25"/>
      <c r="BA134" s="31"/>
      <c r="BD134" s="31"/>
      <c r="BE134" s="31"/>
    </row>
    <row r="135" spans="52:57" ht="15.95" hidden="1" customHeight="1">
      <c r="AZ135" s="25"/>
      <c r="BA135" s="31"/>
      <c r="BD135" s="31"/>
      <c r="BE135" s="31"/>
    </row>
    <row r="136" spans="52:57" ht="15.95" hidden="1" customHeight="1">
      <c r="AZ136" s="25"/>
      <c r="BA136" s="31"/>
      <c r="BD136" s="31"/>
      <c r="BE136" s="31"/>
    </row>
    <row r="137" spans="52:57" ht="15.95" hidden="1" customHeight="1">
      <c r="AZ137" s="25"/>
      <c r="BA137" s="31"/>
      <c r="BD137" s="31"/>
      <c r="BE137" s="31"/>
    </row>
    <row r="138" spans="52:57" ht="15.95" hidden="1" customHeight="1">
      <c r="AZ138" s="25"/>
      <c r="BA138" s="31"/>
      <c r="BD138" s="31"/>
      <c r="BE138" s="31"/>
    </row>
    <row r="139" spans="52:57" ht="15.95" hidden="1" customHeight="1">
      <c r="AZ139" s="25"/>
      <c r="BA139" s="31"/>
      <c r="BD139" s="31"/>
      <c r="BE139" s="31"/>
    </row>
    <row r="140" spans="52:57" ht="15.95" hidden="1" customHeight="1">
      <c r="AZ140" s="25"/>
      <c r="BA140" s="31"/>
      <c r="BD140" s="31"/>
      <c r="BE140" s="31"/>
    </row>
    <row r="141" spans="52:57" ht="15.95" hidden="1" customHeight="1">
      <c r="AZ141" s="25"/>
      <c r="BA141" s="31"/>
      <c r="BD141" s="31"/>
      <c r="BE141" s="31"/>
    </row>
    <row r="142" spans="52:57" ht="15.95" hidden="1" customHeight="1">
      <c r="AZ142" s="25"/>
      <c r="BA142" s="31"/>
      <c r="BD142" s="31"/>
      <c r="BE142" s="31"/>
    </row>
    <row r="143" spans="52:57" ht="15.95" hidden="1" customHeight="1">
      <c r="AZ143" s="25"/>
      <c r="BA143" s="31"/>
      <c r="BD143" s="31"/>
      <c r="BE143" s="31"/>
    </row>
    <row r="144" spans="52:57" ht="15.95" hidden="1" customHeight="1">
      <c r="AZ144" s="25"/>
      <c r="BA144" s="31"/>
      <c r="BD144" s="31"/>
      <c r="BE144" s="31"/>
    </row>
    <row r="145" spans="52:57" ht="15.95" hidden="1" customHeight="1">
      <c r="AZ145" s="25"/>
      <c r="BA145" s="31"/>
      <c r="BD145" s="31"/>
      <c r="BE145" s="31"/>
    </row>
    <row r="146" spans="52:57" ht="15.95" hidden="1" customHeight="1">
      <c r="AZ146" s="25"/>
      <c r="BA146" s="31"/>
      <c r="BD146" s="31"/>
      <c r="BE146" s="31"/>
    </row>
    <row r="147" spans="52:57" ht="15.95" hidden="1" customHeight="1">
      <c r="AZ147" s="25"/>
      <c r="BA147" s="31"/>
      <c r="BD147" s="31"/>
      <c r="BE147" s="31"/>
    </row>
    <row r="148" spans="52:57" ht="15.95" hidden="1" customHeight="1">
      <c r="AZ148" s="25"/>
      <c r="BA148" s="31"/>
      <c r="BD148" s="31"/>
      <c r="BE148" s="31"/>
    </row>
    <row r="149" spans="52:57" ht="15.95" hidden="1" customHeight="1">
      <c r="AZ149" s="25"/>
      <c r="BA149" s="31"/>
      <c r="BD149" s="31"/>
      <c r="BE149" s="31"/>
    </row>
    <row r="150" spans="52:57" ht="15.95" hidden="1" customHeight="1">
      <c r="AZ150" s="25"/>
      <c r="BA150" s="31"/>
      <c r="BD150" s="31"/>
      <c r="BE150" s="31"/>
    </row>
    <row r="151" spans="52:57" ht="15.95" hidden="1" customHeight="1">
      <c r="AZ151" s="25"/>
      <c r="BA151" s="31"/>
      <c r="BD151" s="31"/>
      <c r="BE151" s="31"/>
    </row>
    <row r="152" spans="52:57" ht="15.95" hidden="1" customHeight="1">
      <c r="AZ152" s="25"/>
      <c r="BA152" s="31"/>
      <c r="BD152" s="31"/>
      <c r="BE152" s="31"/>
    </row>
    <row r="153" spans="52:57" ht="15.95" hidden="1" customHeight="1">
      <c r="AZ153" s="25"/>
      <c r="BA153" s="31"/>
      <c r="BD153" s="31"/>
      <c r="BE153" s="31"/>
    </row>
    <row r="154" spans="52:57" ht="15.95" hidden="1" customHeight="1">
      <c r="AZ154" s="25"/>
      <c r="BA154" s="31"/>
      <c r="BD154" s="31"/>
      <c r="BE154" s="31"/>
    </row>
    <row r="155" spans="52:57" ht="15.95" hidden="1" customHeight="1">
      <c r="AZ155" s="25"/>
      <c r="BA155" s="31"/>
      <c r="BD155" s="31"/>
      <c r="BE155" s="31"/>
    </row>
    <row r="156" spans="52:57" ht="15.95" hidden="1" customHeight="1">
      <c r="AZ156" s="25"/>
      <c r="BA156" s="31"/>
      <c r="BD156" s="31"/>
      <c r="BE156" s="31"/>
    </row>
    <row r="157" spans="52:57" ht="15.95" hidden="1" customHeight="1">
      <c r="AZ157" s="25"/>
      <c r="BA157" s="31"/>
      <c r="BD157" s="31"/>
      <c r="BE157" s="31"/>
    </row>
    <row r="158" spans="52:57" ht="15.95" hidden="1" customHeight="1">
      <c r="AZ158" s="25"/>
      <c r="BA158" s="31"/>
      <c r="BD158" s="31"/>
      <c r="BE158" s="31"/>
    </row>
    <row r="159" spans="52:57" ht="15.95" hidden="1" customHeight="1">
      <c r="AZ159" s="25"/>
      <c r="BA159" s="31"/>
      <c r="BD159" s="31"/>
      <c r="BE159" s="31"/>
    </row>
    <row r="160" spans="52:57" ht="15.95" hidden="1" customHeight="1">
      <c r="AZ160" s="25"/>
      <c r="BA160" s="31"/>
      <c r="BD160" s="31"/>
      <c r="BE160" s="31"/>
    </row>
    <row r="161" spans="52:57" ht="15.95" hidden="1" customHeight="1">
      <c r="AZ161" s="25"/>
      <c r="BA161" s="31"/>
      <c r="BD161" s="31"/>
      <c r="BE161" s="31"/>
    </row>
    <row r="162" spans="52:57" ht="15.95" hidden="1" customHeight="1">
      <c r="AZ162" s="25"/>
      <c r="BA162" s="31"/>
      <c r="BD162" s="31"/>
      <c r="BE162" s="31"/>
    </row>
    <row r="163" spans="52:57" ht="15.95" hidden="1" customHeight="1">
      <c r="AZ163" s="25"/>
      <c r="BA163" s="31"/>
      <c r="BD163" s="31"/>
      <c r="BE163" s="31"/>
    </row>
    <row r="164" spans="52:57" ht="15.95" hidden="1" customHeight="1">
      <c r="AZ164" s="25"/>
      <c r="BA164" s="31"/>
      <c r="BD164" s="31"/>
      <c r="BE164" s="31"/>
    </row>
    <row r="165" spans="52:57" ht="15.95" hidden="1" customHeight="1">
      <c r="AZ165" s="25"/>
      <c r="BA165" s="31"/>
      <c r="BD165" s="31"/>
      <c r="BE165" s="31"/>
    </row>
    <row r="166" spans="52:57" ht="15.95" hidden="1" customHeight="1">
      <c r="AZ166" s="25"/>
      <c r="BA166" s="31"/>
      <c r="BD166" s="31"/>
      <c r="BE166" s="31"/>
    </row>
    <row r="167" spans="52:57" ht="15.95" hidden="1" customHeight="1">
      <c r="AZ167" s="25"/>
      <c r="BA167" s="31"/>
      <c r="BD167" s="31"/>
      <c r="BE167" s="31"/>
    </row>
    <row r="168" spans="52:57" ht="15.95" hidden="1" customHeight="1">
      <c r="AZ168" s="25"/>
      <c r="BA168" s="31"/>
      <c r="BD168" s="31"/>
      <c r="BE168" s="31"/>
    </row>
    <row r="169" spans="52:57" ht="15.95" hidden="1" customHeight="1">
      <c r="AZ169" s="25"/>
      <c r="BA169" s="31"/>
      <c r="BD169" s="31"/>
      <c r="BE169" s="31"/>
    </row>
    <row r="170" spans="52:57" ht="15.95" hidden="1" customHeight="1">
      <c r="AZ170" s="25"/>
      <c r="BA170" s="31"/>
      <c r="BD170" s="31"/>
      <c r="BE170" s="31"/>
    </row>
    <row r="171" spans="52:57" ht="15.95" hidden="1" customHeight="1">
      <c r="AZ171" s="25"/>
      <c r="BA171" s="31"/>
      <c r="BD171" s="31"/>
      <c r="BE171" s="31"/>
    </row>
    <row r="172" spans="52:57" ht="15.95" hidden="1" customHeight="1">
      <c r="AZ172" s="25"/>
      <c r="BA172" s="31"/>
      <c r="BD172" s="31"/>
      <c r="BE172" s="31"/>
    </row>
    <row r="173" spans="52:57" ht="15.95" hidden="1" customHeight="1">
      <c r="AZ173" s="25"/>
      <c r="BA173" s="31"/>
      <c r="BD173" s="31"/>
      <c r="BE173" s="31"/>
    </row>
    <row r="174" spans="52:57" ht="15.95" hidden="1" customHeight="1">
      <c r="AZ174" s="25"/>
      <c r="BA174" s="31"/>
      <c r="BD174" s="31"/>
      <c r="BE174" s="31"/>
    </row>
    <row r="175" spans="52:57" ht="15.95" hidden="1" customHeight="1">
      <c r="AZ175" s="25"/>
      <c r="BA175" s="31"/>
      <c r="BD175" s="31"/>
      <c r="BE175" s="31"/>
    </row>
    <row r="176" spans="52:57" ht="15.95" hidden="1" customHeight="1">
      <c r="AZ176" s="25"/>
      <c r="BA176" s="31"/>
      <c r="BD176" s="31"/>
      <c r="BE176" s="31"/>
    </row>
    <row r="177" spans="52:57" ht="15.95" hidden="1" customHeight="1">
      <c r="AZ177" s="25"/>
      <c r="BA177" s="31"/>
      <c r="BD177" s="31"/>
      <c r="BE177" s="31"/>
    </row>
    <row r="178" spans="52:57" ht="15.95" hidden="1" customHeight="1">
      <c r="AZ178" s="25"/>
      <c r="BA178" s="31"/>
      <c r="BD178" s="31"/>
      <c r="BE178" s="31"/>
    </row>
    <row r="179" spans="52:57" ht="15.95" hidden="1" customHeight="1">
      <c r="AZ179" s="25"/>
      <c r="BA179" s="31"/>
      <c r="BD179" s="31"/>
      <c r="BE179" s="31"/>
    </row>
    <row r="180" spans="52:57" ht="15.95" hidden="1" customHeight="1">
      <c r="AZ180" s="25"/>
      <c r="BA180" s="31"/>
      <c r="BD180" s="31"/>
      <c r="BE180" s="31"/>
    </row>
    <row r="181" spans="52:57" ht="15.95" hidden="1" customHeight="1">
      <c r="AZ181" s="25"/>
      <c r="BA181" s="31"/>
      <c r="BD181" s="31"/>
      <c r="BE181" s="31"/>
    </row>
    <row r="182" spans="52:57" ht="15.95" hidden="1" customHeight="1">
      <c r="AZ182" s="25"/>
      <c r="BA182" s="31"/>
      <c r="BD182" s="31"/>
      <c r="BE182" s="31"/>
    </row>
    <row r="183" spans="52:57" ht="15.95" hidden="1" customHeight="1">
      <c r="AZ183" s="25"/>
      <c r="BA183" s="31"/>
      <c r="BD183" s="31"/>
      <c r="BE183" s="31"/>
    </row>
    <row r="184" spans="52:57" ht="15.95" hidden="1" customHeight="1">
      <c r="AZ184" s="25"/>
      <c r="BA184" s="31"/>
      <c r="BD184" s="31"/>
      <c r="BE184" s="31"/>
    </row>
    <row r="185" spans="52:57" ht="15.95" hidden="1" customHeight="1">
      <c r="AZ185" s="25"/>
      <c r="BA185" s="31"/>
      <c r="BD185" s="31"/>
      <c r="BE185" s="31"/>
    </row>
    <row r="186" spans="52:57" ht="15.95" hidden="1" customHeight="1">
      <c r="AZ186" s="25"/>
      <c r="BA186" s="31"/>
      <c r="BD186" s="31"/>
      <c r="BE186" s="31"/>
    </row>
    <row r="187" spans="52:57" ht="15.95" hidden="1" customHeight="1">
      <c r="AZ187" s="25"/>
      <c r="BA187" s="31"/>
      <c r="BD187" s="31"/>
      <c r="BE187" s="31"/>
    </row>
    <row r="188" spans="52:57" ht="15.95" hidden="1" customHeight="1">
      <c r="AZ188" s="25"/>
      <c r="BA188" s="31"/>
      <c r="BD188" s="31"/>
      <c r="BE188" s="31"/>
    </row>
    <row r="189" spans="52:57" ht="15.95" hidden="1" customHeight="1">
      <c r="AZ189" s="25"/>
      <c r="BA189" s="31"/>
      <c r="BD189" s="31"/>
      <c r="BE189" s="31"/>
    </row>
    <row r="190" spans="52:57" ht="15.95" hidden="1" customHeight="1">
      <c r="AZ190" s="25"/>
      <c r="BA190" s="31"/>
      <c r="BD190" s="31"/>
      <c r="BE190" s="31"/>
    </row>
    <row r="191" spans="52:57" ht="15.95" hidden="1" customHeight="1">
      <c r="AZ191" s="25"/>
      <c r="BA191" s="31"/>
      <c r="BD191" s="31"/>
      <c r="BE191" s="31"/>
    </row>
    <row r="192" spans="52:57" ht="15.95" hidden="1" customHeight="1">
      <c r="AZ192" s="25"/>
      <c r="BA192" s="31"/>
      <c r="BD192" s="31"/>
      <c r="BE192" s="31"/>
    </row>
    <row r="193" spans="1:61" ht="15.95" hidden="1" customHeight="1">
      <c r="AZ193" s="25"/>
      <c r="BA193" s="31"/>
      <c r="BD193" s="31"/>
      <c r="BE193" s="31"/>
    </row>
    <row r="194" spans="1:61" ht="15.95" hidden="1" customHeight="1">
      <c r="AZ194" s="25"/>
      <c r="BA194" s="31"/>
      <c r="BD194" s="31"/>
      <c r="BE194" s="31"/>
    </row>
    <row r="195" spans="1:61" ht="15.95" hidden="1" customHeight="1">
      <c r="AZ195" s="25"/>
      <c r="BA195" s="31"/>
      <c r="BD195" s="31"/>
      <c r="BE195" s="31"/>
    </row>
    <row r="196" spans="1:61" ht="15.95" hidden="1" customHeight="1">
      <c r="AZ196" s="25"/>
      <c r="BA196" s="31"/>
      <c r="BD196" s="31"/>
      <c r="BE196" s="31"/>
    </row>
    <row r="197" spans="1:61" ht="15.95" hidden="1" customHeight="1">
      <c r="AZ197" s="25"/>
      <c r="BA197" s="31"/>
      <c r="BD197" s="31"/>
      <c r="BE197" s="31"/>
    </row>
    <row r="198" spans="1:61" ht="15.95" hidden="1" customHeight="1">
      <c r="AZ198" s="25"/>
      <c r="BA198" s="31"/>
      <c r="BD198" s="31"/>
      <c r="BE198" s="31"/>
    </row>
    <row r="199" spans="1:61" ht="15.95" hidden="1" customHeight="1">
      <c r="AZ199" s="25"/>
      <c r="BA199" s="31"/>
      <c r="BD199" s="31"/>
      <c r="BE199" s="31"/>
    </row>
    <row r="200" spans="1:61"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c r="BB200" s="1066">
        <f>IF(OR(COUNTIF(BB18:BC37,"Missing!")&gt;0,COUNTIF(BB18:BC37,0)&gt;0,IF(2*COUNTBLANK(AK18:AK37)=COUNTBLANK(BB18:BC37),0,1)&gt;0),"Missing Units on Custom Water Heating / Food Services. ",SUM(BB18:BB37))</f>
        <v>0</v>
      </c>
      <c r="BC200" s="838">
        <f>SUM(BC18:BC37)</f>
        <v>0</v>
      </c>
      <c r="BD200" s="838">
        <f>SUM(BD18:BD37)</f>
        <v>0</v>
      </c>
      <c r="BE200" s="838">
        <f>SUM(BE18:BE37)</f>
        <v>0</v>
      </c>
      <c r="BH200" s="1065">
        <f>SUM(BH18:BH37)</f>
        <v>0</v>
      </c>
      <c r="BI200" s="1065">
        <f>SUM(BI18:BI37)</f>
        <v>0</v>
      </c>
    </row>
    <row r="201" spans="1:61"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c r="BB201" s="1066"/>
      <c r="BC201" s="838"/>
      <c r="BD201" s="838"/>
      <c r="BE201" s="838"/>
      <c r="BH201" s="837"/>
      <c r="BI201" s="837"/>
    </row>
    <row r="202" spans="1:61"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61" ht="15.95" hidden="1" customHeight="1"/>
    <row r="204" spans="1:61" ht="15.95" hidden="1" customHeight="1"/>
  </sheetData>
  <sheetProtection algorithmName="SHA-512" hashValue="PkNaPM109Fb0+lWb4CnPNOn3gJhf5BaqZReARLUSJ52/TjAee3PA7C61/cEqzYDim0d+pmPXhBC6DwJY+lNKYQ==" saltValue="xL1Iv79UvKC3q91ft1Pecg==" spinCount="100000" sheet="1" objects="1" scenarios="1" selectLockedCells="1"/>
  <mergeCells count="388">
    <mergeCell ref="AK26:AM27"/>
    <mergeCell ref="AN26:AQ27"/>
    <mergeCell ref="AH26:AJ27"/>
    <mergeCell ref="BA20:BA21"/>
    <mergeCell ref="AY24:AY25"/>
    <mergeCell ref="AZ24:AZ25"/>
    <mergeCell ref="BA24:BA25"/>
    <mergeCell ref="W9:Z11"/>
    <mergeCell ref="AA9:AD11"/>
    <mergeCell ref="AB24:AD25"/>
    <mergeCell ref="AE24:AG25"/>
    <mergeCell ref="AI13:AQ14"/>
    <mergeCell ref="BC18:BC19"/>
    <mergeCell ref="BB20:BB21"/>
    <mergeCell ref="BC20:BC21"/>
    <mergeCell ref="BB22:BB23"/>
    <mergeCell ref="BC22:BC23"/>
    <mergeCell ref="BB24:BB25"/>
    <mergeCell ref="BC24:BC25"/>
    <mergeCell ref="BB26:BB27"/>
    <mergeCell ref="BC26:BC27"/>
    <mergeCell ref="BB18:BB19"/>
    <mergeCell ref="L16:P17"/>
    <mergeCell ref="Q16:S17"/>
    <mergeCell ref="T16:X17"/>
    <mergeCell ref="Y16:AA17"/>
    <mergeCell ref="L18:P19"/>
    <mergeCell ref="Q18:S19"/>
    <mergeCell ref="Q20:S21"/>
    <mergeCell ref="L20:P21"/>
    <mergeCell ref="L22:P23"/>
    <mergeCell ref="Q22:S23"/>
    <mergeCell ref="T18:X19"/>
    <mergeCell ref="Y18:AA19"/>
    <mergeCell ref="T20:X21"/>
    <mergeCell ref="Y20:AA21"/>
    <mergeCell ref="T22:X23"/>
    <mergeCell ref="Y22:AA23"/>
    <mergeCell ref="A8:E8"/>
    <mergeCell ref="AQ8:AU8"/>
    <mergeCell ref="C16:K17"/>
    <mergeCell ref="AB16:AD17"/>
    <mergeCell ref="AE16:AG17"/>
    <mergeCell ref="C18:K19"/>
    <mergeCell ref="AB18:AD19"/>
    <mergeCell ref="AE18:AG19"/>
    <mergeCell ref="C20:K21"/>
    <mergeCell ref="AB20:AD21"/>
    <mergeCell ref="AE20:AG21"/>
    <mergeCell ref="AN20:AQ21"/>
    <mergeCell ref="AH20:AJ21"/>
    <mergeCell ref="AK20:AM21"/>
    <mergeCell ref="R12:U13"/>
    <mergeCell ref="V12:Y13"/>
    <mergeCell ref="Z12:AC13"/>
    <mergeCell ref="R14:U14"/>
    <mergeCell ref="V14:Y14"/>
    <mergeCell ref="Z14:AC14"/>
    <mergeCell ref="G9:J11"/>
    <mergeCell ref="K9:N11"/>
    <mergeCell ref="O9:R11"/>
    <mergeCell ref="S9:V11"/>
    <mergeCell ref="F1:I3"/>
    <mergeCell ref="J1:M3"/>
    <mergeCell ref="O1:AE3"/>
    <mergeCell ref="AL1:AO3"/>
    <mergeCell ref="AP1:AS3"/>
    <mergeCell ref="A5:E6"/>
    <mergeCell ref="AQ5:AU6"/>
    <mergeCell ref="A7:E7"/>
    <mergeCell ref="AQ7:AU7"/>
    <mergeCell ref="AT1:AW3"/>
    <mergeCell ref="M200:AG201"/>
    <mergeCell ref="BD200:BD201"/>
    <mergeCell ref="BE200:BE201"/>
    <mergeCell ref="BH200:BH201"/>
    <mergeCell ref="B38:B39"/>
    <mergeCell ref="B40:B41"/>
    <mergeCell ref="B42:B43"/>
    <mergeCell ref="B44:B45"/>
    <mergeCell ref="B46:B47"/>
    <mergeCell ref="BB200:BB201"/>
    <mergeCell ref="BC200:BC201"/>
    <mergeCell ref="AN36:AQ37"/>
    <mergeCell ref="AH36:AJ37"/>
    <mergeCell ref="AK36:AM37"/>
    <mergeCell ref="B36:B37"/>
    <mergeCell ref="C36:K37"/>
    <mergeCell ref="AB36:AD37"/>
    <mergeCell ref="AE36:AG37"/>
    <mergeCell ref="L36:P37"/>
    <mergeCell ref="Q36:S37"/>
    <mergeCell ref="T36:X37"/>
    <mergeCell ref="Y36:AA37"/>
    <mergeCell ref="AK34:AM35"/>
    <mergeCell ref="AN34:AQ35"/>
    <mergeCell ref="AH34:AJ35"/>
    <mergeCell ref="B34:B35"/>
    <mergeCell ref="C34:K35"/>
    <mergeCell ref="AB34:AD35"/>
    <mergeCell ref="AE34:AG35"/>
    <mergeCell ref="L34:P35"/>
    <mergeCell ref="Q34:S35"/>
    <mergeCell ref="T34:X35"/>
    <mergeCell ref="Y34:AA35"/>
    <mergeCell ref="AH30:AJ31"/>
    <mergeCell ref="AK30:AM31"/>
    <mergeCell ref="AN30:AQ31"/>
    <mergeCell ref="AN32:AQ33"/>
    <mergeCell ref="B30:B31"/>
    <mergeCell ref="AH32:AJ33"/>
    <mergeCell ref="AK32:AM33"/>
    <mergeCell ref="B32:B33"/>
    <mergeCell ref="C30:K31"/>
    <mergeCell ref="AB30:AD31"/>
    <mergeCell ref="AE30:AG31"/>
    <mergeCell ref="C32:K33"/>
    <mergeCell ref="AB32:AD33"/>
    <mergeCell ref="AE32:AG33"/>
    <mergeCell ref="L30:P31"/>
    <mergeCell ref="Q30:S31"/>
    <mergeCell ref="L32:P33"/>
    <mergeCell ref="Q32:S33"/>
    <mergeCell ref="T30:X31"/>
    <mergeCell ref="Y30:AA31"/>
    <mergeCell ref="T32:X33"/>
    <mergeCell ref="Y32:AA33"/>
    <mergeCell ref="AN28:AQ29"/>
    <mergeCell ref="AH28:AJ29"/>
    <mergeCell ref="AK28:AM29"/>
    <mergeCell ref="B28:B29"/>
    <mergeCell ref="C28:K29"/>
    <mergeCell ref="AB28:AD29"/>
    <mergeCell ref="AE28:AG29"/>
    <mergeCell ref="T28:X29"/>
    <mergeCell ref="Y28:AA29"/>
    <mergeCell ref="L28:P29"/>
    <mergeCell ref="Q28:S29"/>
    <mergeCell ref="B26:B27"/>
    <mergeCell ref="AH22:AJ23"/>
    <mergeCell ref="AK22:AM23"/>
    <mergeCell ref="AN22:AQ23"/>
    <mergeCell ref="AN24:AQ25"/>
    <mergeCell ref="B22:B23"/>
    <mergeCell ref="AH24:AJ25"/>
    <mergeCell ref="AK24:AM25"/>
    <mergeCell ref="B24:B25"/>
    <mergeCell ref="C22:K23"/>
    <mergeCell ref="AB22:AD23"/>
    <mergeCell ref="AE22:AG23"/>
    <mergeCell ref="C24:K25"/>
    <mergeCell ref="C26:K27"/>
    <mergeCell ref="AB26:AD27"/>
    <mergeCell ref="AE26:AG27"/>
    <mergeCell ref="L24:P25"/>
    <mergeCell ref="Q24:S25"/>
    <mergeCell ref="L26:P27"/>
    <mergeCell ref="Q26:S27"/>
    <mergeCell ref="T24:X25"/>
    <mergeCell ref="Y24:AA25"/>
    <mergeCell ref="T26:X27"/>
    <mergeCell ref="Y26:AA27"/>
    <mergeCell ref="BQ18:BQ19"/>
    <mergeCell ref="BR18:BR19"/>
    <mergeCell ref="B20:B21"/>
    <mergeCell ref="BK18:BK19"/>
    <mergeCell ref="BL18:BL19"/>
    <mergeCell ref="BM18:BM19"/>
    <mergeCell ref="BN18:BN19"/>
    <mergeCell ref="BO18:BO19"/>
    <mergeCell ref="BP18:BP19"/>
    <mergeCell ref="BE18:BE19"/>
    <mergeCell ref="BF18:BF19"/>
    <mergeCell ref="BG18:BG19"/>
    <mergeCell ref="BH18:BH19"/>
    <mergeCell ref="BI18:BI19"/>
    <mergeCell ref="BJ18:BJ19"/>
    <mergeCell ref="AK18:AM19"/>
    <mergeCell ref="AN18:AQ19"/>
    <mergeCell ref="AY18:AY19"/>
    <mergeCell ref="AZ18:AZ19"/>
    <mergeCell ref="BA18:BA19"/>
    <mergeCell ref="BD18:BD19"/>
    <mergeCell ref="AH18:AJ19"/>
    <mergeCell ref="AY20:AY21"/>
    <mergeCell ref="AZ20:AZ21"/>
    <mergeCell ref="BR16:BR17"/>
    <mergeCell ref="B18:B19"/>
    <mergeCell ref="BL16:BL17"/>
    <mergeCell ref="BM16:BM17"/>
    <mergeCell ref="BN16:BN17"/>
    <mergeCell ref="BO16:BO17"/>
    <mergeCell ref="BP16:BP17"/>
    <mergeCell ref="BQ16:BQ17"/>
    <mergeCell ref="BF16:BF17"/>
    <mergeCell ref="BG16:BG17"/>
    <mergeCell ref="BH16:BH17"/>
    <mergeCell ref="BI16:BI17"/>
    <mergeCell ref="BJ16:BJ17"/>
    <mergeCell ref="BK16:BK17"/>
    <mergeCell ref="AN16:AQ17"/>
    <mergeCell ref="AY16:AY17"/>
    <mergeCell ref="AZ16:AZ17"/>
    <mergeCell ref="BA16:BA17"/>
    <mergeCell ref="BD16:BD17"/>
    <mergeCell ref="BE16:BE17"/>
    <mergeCell ref="AH16:AJ17"/>
    <mergeCell ref="AK16:AM17"/>
    <mergeCell ref="BB16:BB17"/>
    <mergeCell ref="BC16:BC17"/>
    <mergeCell ref="BD20:BD21"/>
    <mergeCell ref="BE20:BE21"/>
    <mergeCell ref="BF20:BF21"/>
    <mergeCell ref="BG20:BG21"/>
    <mergeCell ref="BH20:BH21"/>
    <mergeCell ref="BI20:BI21"/>
    <mergeCell ref="BJ20:BJ21"/>
    <mergeCell ref="BK20:BK21"/>
    <mergeCell ref="BL20:BL21"/>
    <mergeCell ref="BM20:BM21"/>
    <mergeCell ref="BN20:BN21"/>
    <mergeCell ref="BO20:BO21"/>
    <mergeCell ref="BP20:BP21"/>
    <mergeCell ref="BQ20:BQ21"/>
    <mergeCell ref="BR20:BR21"/>
    <mergeCell ref="AY22:AY23"/>
    <mergeCell ref="AZ22:AZ23"/>
    <mergeCell ref="BA22:BA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Q22:BQ23"/>
    <mergeCell ref="BR22:BR23"/>
    <mergeCell ref="BD24:BD25"/>
    <mergeCell ref="BE24:BE25"/>
    <mergeCell ref="BF24:BF25"/>
    <mergeCell ref="BG24:BG25"/>
    <mergeCell ref="BH24:BH25"/>
    <mergeCell ref="BI24:BI25"/>
    <mergeCell ref="BJ24:BJ25"/>
    <mergeCell ref="BK24:BK25"/>
    <mergeCell ref="BL24:BL25"/>
    <mergeCell ref="BM24:BM25"/>
    <mergeCell ref="BN24:BN25"/>
    <mergeCell ref="BO24:BO25"/>
    <mergeCell ref="BP24:BP25"/>
    <mergeCell ref="BQ24:BQ25"/>
    <mergeCell ref="BR24:BR25"/>
    <mergeCell ref="AY26:AY27"/>
    <mergeCell ref="AZ26:AZ27"/>
    <mergeCell ref="BA26:BA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Q26:BQ27"/>
    <mergeCell ref="BR26:BR27"/>
    <mergeCell ref="AY28:AY29"/>
    <mergeCell ref="AZ28:AZ29"/>
    <mergeCell ref="BA28:BA29"/>
    <mergeCell ref="BD28:BD29"/>
    <mergeCell ref="BE28:BE29"/>
    <mergeCell ref="BF28:BF29"/>
    <mergeCell ref="BG28:BG29"/>
    <mergeCell ref="BH28:BH29"/>
    <mergeCell ref="BI28:BI29"/>
    <mergeCell ref="BB28:BB29"/>
    <mergeCell ref="BC28:BC29"/>
    <mergeCell ref="BJ28:BJ29"/>
    <mergeCell ref="BK28:BK29"/>
    <mergeCell ref="BL28:BL29"/>
    <mergeCell ref="BM28:BM29"/>
    <mergeCell ref="BN28:BN29"/>
    <mergeCell ref="BO28:BO29"/>
    <mergeCell ref="BP28:BP29"/>
    <mergeCell ref="BQ28:BQ29"/>
    <mergeCell ref="BR28:BR29"/>
    <mergeCell ref="AY30:AY31"/>
    <mergeCell ref="AZ30:AZ31"/>
    <mergeCell ref="BA30:BA31"/>
    <mergeCell ref="BD30:BD31"/>
    <mergeCell ref="BE30:BE31"/>
    <mergeCell ref="BF30:BF31"/>
    <mergeCell ref="BG30:BG31"/>
    <mergeCell ref="BH30:BH31"/>
    <mergeCell ref="BI30:BI31"/>
    <mergeCell ref="BB30:BB31"/>
    <mergeCell ref="BC30:BC31"/>
    <mergeCell ref="BJ30:BJ31"/>
    <mergeCell ref="BK30:BK31"/>
    <mergeCell ref="BL30:BL31"/>
    <mergeCell ref="BM30:BM31"/>
    <mergeCell ref="BN30:BN31"/>
    <mergeCell ref="BO30:BO31"/>
    <mergeCell ref="BP30:BP31"/>
    <mergeCell ref="BQ30:BQ31"/>
    <mergeCell ref="BR30:BR31"/>
    <mergeCell ref="AY32:AY33"/>
    <mergeCell ref="AZ32:AZ33"/>
    <mergeCell ref="BA32:BA33"/>
    <mergeCell ref="BD32:BD33"/>
    <mergeCell ref="BE32:BE33"/>
    <mergeCell ref="BF32:BF33"/>
    <mergeCell ref="BG32:BG33"/>
    <mergeCell ref="BH32:BH33"/>
    <mergeCell ref="BI32:BI33"/>
    <mergeCell ref="BB32:BB33"/>
    <mergeCell ref="BC32:BC33"/>
    <mergeCell ref="BJ32:BJ33"/>
    <mergeCell ref="BK32:BK33"/>
    <mergeCell ref="BL32:BL33"/>
    <mergeCell ref="BM32:BM33"/>
    <mergeCell ref="BN32:BN33"/>
    <mergeCell ref="BO32:BO33"/>
    <mergeCell ref="BP32:BP33"/>
    <mergeCell ref="BQ32:BQ33"/>
    <mergeCell ref="BR32:BR33"/>
    <mergeCell ref="BN34:BN35"/>
    <mergeCell ref="BO34:BO35"/>
    <mergeCell ref="BP34:BP35"/>
    <mergeCell ref="BQ34:BQ35"/>
    <mergeCell ref="BR34:BR35"/>
    <mergeCell ref="AY34:AY35"/>
    <mergeCell ref="AZ34:AZ35"/>
    <mergeCell ref="BA34:BA35"/>
    <mergeCell ref="BD34:BD35"/>
    <mergeCell ref="BE34:BE35"/>
    <mergeCell ref="BF34:BF35"/>
    <mergeCell ref="BG34:BG35"/>
    <mergeCell ref="BH34:BH35"/>
    <mergeCell ref="BI34:BI35"/>
    <mergeCell ref="BB34:BB35"/>
    <mergeCell ref="BC34:BC35"/>
    <mergeCell ref="BL34:BL35"/>
    <mergeCell ref="AY36:AY37"/>
    <mergeCell ref="AZ36:AZ37"/>
    <mergeCell ref="BA36:BA37"/>
    <mergeCell ref="BD36:BD37"/>
    <mergeCell ref="BE36:BE37"/>
    <mergeCell ref="BF36:BF37"/>
    <mergeCell ref="BG36:BG37"/>
    <mergeCell ref="BH36:BH37"/>
    <mergeCell ref="BI36:BI37"/>
    <mergeCell ref="BB36:BB37"/>
    <mergeCell ref="BC36:BC37"/>
    <mergeCell ref="BI200:BI201"/>
    <mergeCell ref="BS34:BS35"/>
    <mergeCell ref="BS36:BS37"/>
    <mergeCell ref="BS16:BS17"/>
    <mergeCell ref="BS18:BS19"/>
    <mergeCell ref="BS20:BS21"/>
    <mergeCell ref="BS22:BS23"/>
    <mergeCell ref="BS24:BS25"/>
    <mergeCell ref="BS26:BS27"/>
    <mergeCell ref="BS28:BS29"/>
    <mergeCell ref="BS30:BS31"/>
    <mergeCell ref="BS32:BS33"/>
    <mergeCell ref="BJ36:BJ37"/>
    <mergeCell ref="BK36:BK37"/>
    <mergeCell ref="BL36:BL37"/>
    <mergeCell ref="BM36:BM37"/>
    <mergeCell ref="BN36:BN37"/>
    <mergeCell ref="BO36:BO37"/>
    <mergeCell ref="BP36:BP37"/>
    <mergeCell ref="BQ36:BQ37"/>
    <mergeCell ref="BR36:BR37"/>
    <mergeCell ref="BJ34:BJ35"/>
    <mergeCell ref="BK34:BK35"/>
    <mergeCell ref="BM34:BM35"/>
  </mergeCells>
  <conditionalFormatting sqref="C18:K37">
    <cfRule type="expression" dxfId="67" priority="9">
      <formula>IF(AND($C18&lt;&gt;"",OR(ISBLANK(C18)=TRUE,C18="")),TRUE,FALSE)</formula>
    </cfRule>
  </conditionalFormatting>
  <conditionalFormatting sqref="L18 Q18 AB18:AG37 L20 Q20">
    <cfRule type="expression" dxfId="66" priority="7">
      <formula>IF(AND($C18&lt;&gt;"",OR(ISBLANK(L18)=TRUE,L18="")),TRUE,FALSE)</formula>
    </cfRule>
  </conditionalFormatting>
  <conditionalFormatting sqref="L22 Q22 L24 Q24 L26 Q26 L28 Q28 L30 Q30 L32 Q32 L34 Q34 L36 Q36">
    <cfRule type="expression" dxfId="65" priority="5">
      <formula>IF(AND($C22&lt;&gt;"",OR(ISBLANK(L22)=TRUE,L22="")),TRUE,FALSE)</formula>
    </cfRule>
  </conditionalFormatting>
  <conditionalFormatting sqref="T18 Y18 T20 Y20">
    <cfRule type="expression" dxfId="64" priority="4">
      <formula>IF(AND($C18&lt;&gt;"",OR(ISBLANK(T18)=TRUE,T18="")),TRUE,FALSE)</formula>
    </cfRule>
  </conditionalFormatting>
  <conditionalFormatting sqref="T22 Y22 T24 Y24 T26 Y26 T28 Y28 T30 Y30 T32 Y32 T34 Y34 T36 Y36">
    <cfRule type="expression" dxfId="63" priority="3">
      <formula>IF(AND($C22&lt;&gt;"",OR(ISBLANK(T22)=TRUE,T22="")),TRUE,FALSE)</formula>
    </cfRule>
  </conditionalFormatting>
  <conditionalFormatting sqref="AN18:AQ37">
    <cfRule type="expression" dxfId="62" priority="1" stopIfTrue="1">
      <formula>ISNUMBER($AN18)=FALSE</formula>
    </cfRule>
    <cfRule type="expression" dxfId="61" priority="6">
      <formula>$AN18 &lt;&gt; $BJ18</formula>
    </cfRule>
  </conditionalFormatting>
  <conditionalFormatting sqref="AQ8:AW8">
    <cfRule type="expression" dxfId="60" priority="1692">
      <formula>IF($AQ$8=PROJSTATMEASURE,FALSE,TRUE)</formula>
    </cfRule>
  </conditionalFormatting>
  <conditionalFormatting sqref="BB18:BC37 BI18:BI37">
    <cfRule type="expression" dxfId="59" priority="2">
      <formula>IF(AND(ISNUMBER($AK18),OR(BB18="Missing!",BB18="")),TRUE,FALSE)</formula>
    </cfRule>
  </conditionalFormatting>
  <dataValidations count="6">
    <dataValidation type="decimal" allowBlank="1" showInputMessage="1" showErrorMessage="1" sqref="P22:P37 X18:X37" xr:uid="{56382083-54EF-4488-B4D0-34238A69516E}">
      <formula1>0</formula1>
      <formula2>999999</formula2>
    </dataValidation>
    <dataValidation type="decimal" allowBlank="1" showInputMessage="1" showErrorMessage="1" prompt="Input the total cost of the Baseline Equipment" sqref="AB18:AD37" xr:uid="{6E26741C-4807-4E46-B070-C15E0457067C}">
      <formula1>0</formula1>
      <formula2>999999999</formula2>
    </dataValidation>
    <dataValidation type="decimal" allowBlank="1" showInputMessage="1" showErrorMessage="1" prompt="Input the total cost of the Efficient Equipment" sqref="AE18:AG37" xr:uid="{D07E58BF-5C0F-488E-BD47-378E04E7685F}">
      <formula1>AB18</formula1>
      <formula2>999999999</formula2>
    </dataValidation>
    <dataValidation type="list" allowBlank="1" showInputMessage="1" showErrorMessage="1" sqref="C18:K37" xr:uid="{D18C831E-2B44-4BBC-98BD-B62AFEE7E603}">
      <formula1>CMECOOKLIST_N</formula1>
    </dataValidation>
    <dataValidation type="list" allowBlank="1" showInputMessage="1" sqref="BG18:BG37" xr:uid="{A8E45868-86F2-498F-B314-7BCC1D4CF769}">
      <formula1>ENDUSECAT</formula1>
    </dataValidation>
    <dataValidation type="whole" operator="greaterThanOrEqual" allowBlank="1" showInputMessage="1" showErrorMessage="1" errorTitle="Invalid Entry" error="Value must be a whole number." sqref="Q18:S37 Y18:AA37" xr:uid="{C8271B8D-A0F9-43FA-977C-07FA5FEEC08E}">
      <formula1>0</formula1>
    </dataValidation>
  </dataValidations>
  <hyperlinks>
    <hyperlink ref="G9:J11" location="'M03-S04'!C18" tooltip="Refrigeration" display="'M03-S04'!C18" xr:uid="{360A0694-C54F-4A39-9D33-6BFDB29F55C6}"/>
    <hyperlink ref="K9:N11" location="'M03-S05'!C18" tooltip="HVAC" display="'M03-S05'!C18" xr:uid="{1BA49904-D24C-43E3-9823-54750777A360}"/>
    <hyperlink ref="S9:V11" location="'M03-S06'!C18" tooltip="Compressed Air / Process" display="'M03-S06'!C18" xr:uid="{329168E7-E41E-4220-AE4C-333C39AC0285}"/>
    <hyperlink ref="W9:Z11" location="'M03-S07'!C18" tooltip="Water Heating / Cooking" display="'M03-S07'!C18" xr:uid="{4663D681-1464-4F67-BF5E-A3D6FCE228CD}"/>
    <hyperlink ref="O9:R11" location="'M03-S08'!C18" tooltip="Motors and Drives" display="'M03-S08'!C18" xr:uid="{5C736687-D263-4D59-9661-D58F141C57EA}"/>
    <hyperlink ref="AA9:AD11" location="'M04-S09'!C18" tooltip="Miscellaneous" display="'M04-S09'!C18" xr:uid="{8E98CBA8-A55C-4815-A74B-ABD366EE73A1}"/>
    <hyperlink ref="B202" r:id="rId1" display="businessrebates@evergy.com" xr:uid="{FABAC66D-EDC9-4931-8D15-6DE7E294A179}"/>
  </hyperlinks>
  <printOptions horizontalCentered="1"/>
  <pageMargins left="0" right="0" top="0" bottom="0" header="0" footer="0"/>
  <pageSetup scale="4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F428B-D484-4541-9A2B-5B78C340FAE3}">
  <sheetPr codeName="Sheet85">
    <tabColor theme="9" tint="0.59999389629810485"/>
    <pageSetUpPr fitToPage="1"/>
  </sheetPr>
  <dimension ref="A1:BS206"/>
  <sheetViews>
    <sheetView showGridLines="0" showRowColHeaders="0" zoomScale="85" zoomScaleNormal="85" workbookViewId="0">
      <selection activeCell="C18" sqref="C18:K19"/>
    </sheetView>
  </sheetViews>
  <sheetFormatPr defaultColWidth="0" defaultRowHeight="0" customHeight="1" zeroHeight="1"/>
  <cols>
    <col min="1" max="49" width="4.7109375" style="21" customWidth="1"/>
    <col min="50" max="50" width="4.7109375" hidden="1"/>
    <col min="51" max="52" width="9.7109375" style="21" hidden="1"/>
    <col min="53" max="53" width="12.5703125" style="21" hidden="1"/>
    <col min="54" max="68" width="9.7109375" style="21" hidden="1"/>
    <col min="69" max="69" width="9.5703125" style="21" hidden="1"/>
    <col min="70" max="70" width="8.7109375" style="21" hidden="1"/>
    <col min="71" max="71" width="10.28515625" style="21" hidden="1"/>
    <col min="72" max="16384" width="4.7109375" style="21" hidden="1"/>
  </cols>
  <sheetData>
    <row r="1" spans="1:71" customFormat="1"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71" customFormat="1"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71" customFormat="1"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71" ht="15.95" customHeight="1">
      <c r="A4"/>
      <c r="B4" s="199"/>
      <c r="C4" s="199"/>
      <c r="D4" s="199"/>
      <c r="E4" s="19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row>
    <row r="5" spans="1:71" ht="15.95" customHeight="1">
      <c r="A5" s="667">
        <f>INCENTOTAL_N</f>
        <v>0</v>
      </c>
      <c r="B5" s="667"/>
      <c r="C5" s="667"/>
      <c r="D5" s="667"/>
      <c r="E5" s="667"/>
      <c r="F5"/>
      <c r="G5"/>
      <c r="H5"/>
      <c r="I5"/>
      <c r="J5"/>
      <c r="K5"/>
      <c r="L5"/>
      <c r="M5"/>
      <c r="N5"/>
      <c r="O5"/>
      <c r="P5"/>
      <c r="Q5"/>
      <c r="R5"/>
      <c r="S5"/>
      <c r="T5"/>
      <c r="U5"/>
      <c r="V5"/>
      <c r="W5"/>
      <c r="X5"/>
      <c r="Y5"/>
      <c r="Z5"/>
      <c r="AA5"/>
      <c r="AB5"/>
      <c r="AC5"/>
      <c r="AD5"/>
      <c r="AE5"/>
      <c r="AF5"/>
      <c r="AG5"/>
      <c r="AH5"/>
      <c r="AI5"/>
      <c r="AJ5"/>
      <c r="AK5"/>
      <c r="AL5"/>
      <c r="AM5"/>
      <c r="AN5"/>
      <c r="AQ5" s="668">
        <f ca="1">PROGRESSSTATUS_N</f>
        <v>0</v>
      </c>
      <c r="AR5" s="668"/>
      <c r="AS5" s="668"/>
      <c r="AT5" s="668"/>
      <c r="AU5" s="668"/>
      <c r="AV5" s="557"/>
      <c r="AW5" s="557"/>
      <c r="AZ5" s="110" t="s">
        <v>844</v>
      </c>
      <c r="BA5" s="110" t="s">
        <v>198</v>
      </c>
      <c r="BB5" s="43"/>
      <c r="BC5" s="43"/>
    </row>
    <row r="6" spans="1:71" ht="15.95" customHeight="1">
      <c r="A6" s="667"/>
      <c r="B6" s="667"/>
      <c r="C6" s="667"/>
      <c r="D6" s="667"/>
      <c r="E6" s="667"/>
      <c r="F6"/>
      <c r="G6"/>
      <c r="H6"/>
      <c r="I6"/>
      <c r="J6"/>
      <c r="K6"/>
      <c r="L6"/>
      <c r="M6"/>
      <c r="N6"/>
      <c r="O6"/>
      <c r="P6"/>
      <c r="Q6"/>
      <c r="R6"/>
      <c r="S6"/>
      <c r="T6"/>
      <c r="U6"/>
      <c r="V6"/>
      <c r="W6"/>
      <c r="X6"/>
      <c r="Y6"/>
      <c r="Z6"/>
      <c r="AA6"/>
      <c r="AB6"/>
      <c r="AC6"/>
      <c r="AD6"/>
      <c r="AE6"/>
      <c r="AF6"/>
      <c r="AG6"/>
      <c r="AH6"/>
      <c r="AI6"/>
      <c r="AJ6"/>
      <c r="AK6"/>
      <c r="AL6"/>
      <c r="AM6"/>
      <c r="AN6"/>
      <c r="AQ6" s="668"/>
      <c r="AR6" s="668"/>
      <c r="AS6" s="668"/>
      <c r="AT6" s="668"/>
      <c r="AU6" s="668"/>
      <c r="AV6" s="557"/>
      <c r="AW6" s="557"/>
      <c r="AY6" s="109" t="s">
        <v>26</v>
      </c>
      <c r="AZ6" s="108" t="str">
        <f>CBLIGHT_N</f>
        <v>NA</v>
      </c>
      <c r="BA6" s="176" t="str">
        <f>PAYLIGHT_N</f>
        <v>NA</v>
      </c>
      <c r="BB6" s="43"/>
      <c r="BC6" s="43"/>
    </row>
    <row r="7" spans="1:71" ht="15.95" customHeight="1">
      <c r="A7" s="665" t="s">
        <v>20</v>
      </c>
      <c r="B7" s="665"/>
      <c r="C7" s="665"/>
      <c r="D7" s="665"/>
      <c r="E7" s="665"/>
      <c r="F7"/>
      <c r="G7"/>
      <c r="H7"/>
      <c r="I7"/>
      <c r="J7"/>
      <c r="K7"/>
      <c r="L7"/>
      <c r="M7"/>
      <c r="N7"/>
      <c r="O7"/>
      <c r="P7"/>
      <c r="Q7"/>
      <c r="R7"/>
      <c r="S7"/>
      <c r="T7"/>
      <c r="U7"/>
      <c r="V7"/>
      <c r="W7"/>
      <c r="X7"/>
      <c r="Y7"/>
      <c r="Z7"/>
      <c r="AA7"/>
      <c r="AB7"/>
      <c r="AC7"/>
      <c r="AD7"/>
      <c r="AE7"/>
      <c r="AF7"/>
      <c r="AG7"/>
      <c r="AH7"/>
      <c r="AI7"/>
      <c r="AJ7"/>
      <c r="AK7"/>
      <c r="AL7"/>
      <c r="AM7"/>
      <c r="AN7"/>
      <c r="AQ7" s="665" t="s">
        <v>179</v>
      </c>
      <c r="AR7" s="665"/>
      <c r="AS7" s="665"/>
      <c r="AT7" s="665"/>
      <c r="AU7" s="665"/>
      <c r="AV7" s="556"/>
      <c r="AW7" s="556"/>
      <c r="AY7" s="109" t="s">
        <v>50</v>
      </c>
      <c r="AZ7" s="108" t="str">
        <f>CBCUST_N</f>
        <v>NA</v>
      </c>
      <c r="BA7" s="176" t="str">
        <f>PAYCUST_N</f>
        <v>NA</v>
      </c>
      <c r="BB7" s="43"/>
      <c r="BC7" s="43"/>
      <c r="BD7" s="107"/>
    </row>
    <row r="8" spans="1:71" ht="15.95" customHeight="1" thickBot="1">
      <c r="A8" s="665"/>
      <c r="B8" s="665"/>
      <c r="C8" s="665"/>
      <c r="D8" s="665"/>
      <c r="E8" s="665"/>
      <c r="F8"/>
      <c r="G8"/>
      <c r="H8"/>
      <c r="I8"/>
      <c r="J8"/>
      <c r="K8"/>
      <c r="L8"/>
      <c r="M8"/>
      <c r="N8"/>
      <c r="O8"/>
      <c r="P8"/>
      <c r="Q8"/>
      <c r="R8"/>
      <c r="S8"/>
      <c r="T8"/>
      <c r="U8"/>
      <c r="V8"/>
      <c r="W8"/>
      <c r="X8"/>
      <c r="Y8"/>
      <c r="Z8"/>
      <c r="AA8"/>
      <c r="AB8"/>
      <c r="AC8"/>
      <c r="AD8"/>
      <c r="AE8"/>
      <c r="AF8"/>
      <c r="AG8"/>
      <c r="AH8"/>
      <c r="AI8"/>
      <c r="AJ8"/>
      <c r="AK8"/>
      <c r="AL8"/>
      <c r="AM8"/>
      <c r="AN8"/>
      <c r="AQ8" s="674" t="str">
        <f ca="1">PROJSTATUS_N</f>
        <v>Enter Measures</v>
      </c>
      <c r="AR8" s="674"/>
      <c r="AS8" s="674"/>
      <c r="AT8" s="674"/>
      <c r="AU8" s="674"/>
      <c r="AV8" s="558"/>
      <c r="AW8" s="558"/>
      <c r="AY8" s="109" t="s">
        <v>273</v>
      </c>
      <c r="AZ8" s="108" t="str">
        <f>CBPROJ_N</f>
        <v>NA</v>
      </c>
      <c r="BA8" s="176" t="str">
        <f>PAYPROJ_N</f>
        <v>NA</v>
      </c>
      <c r="BB8" s="43"/>
      <c r="BC8" s="43"/>
    </row>
    <row r="9" spans="1:71" s="104" customFormat="1" ht="15.95" customHeight="1">
      <c r="A9" s="200"/>
      <c r="B9" s="200"/>
      <c r="C9" s="200"/>
      <c r="D9" s="200"/>
      <c r="E9" s="200"/>
      <c r="F9" s="102"/>
      <c r="G9" s="930" t="str">
        <f>N4S1</f>
        <v>HVAC</v>
      </c>
      <c r="H9" s="931"/>
      <c r="I9" s="931"/>
      <c r="J9" s="931"/>
      <c r="K9" s="930" t="str">
        <f>N4S2</f>
        <v>Motors and Drives</v>
      </c>
      <c r="L9" s="931"/>
      <c r="M9" s="931"/>
      <c r="N9" s="931"/>
      <c r="O9" s="930" t="str">
        <f>N4S3</f>
        <v>Compressed Air / Process</v>
      </c>
      <c r="P9" s="931"/>
      <c r="Q9" s="931"/>
      <c r="R9" s="931"/>
      <c r="S9" s="930" t="str">
        <f>N4S4</f>
        <v>Refrigeration</v>
      </c>
      <c r="T9" s="931"/>
      <c r="U9" s="931"/>
      <c r="V9" s="931"/>
      <c r="W9" s="930" t="str">
        <f>N4S5</f>
        <v>Water Heating / Food Services</v>
      </c>
      <c r="X9" s="931"/>
      <c r="Y9" s="931"/>
      <c r="Z9" s="931"/>
      <c r="AA9" s="925" t="str">
        <f>N4S6</f>
        <v>Miscellaneous</v>
      </c>
      <c r="AB9" s="925"/>
      <c r="AC9" s="925"/>
      <c r="AD9" s="925"/>
      <c r="AE9" s="101"/>
      <c r="AF9" s="101"/>
      <c r="AG9" s="101"/>
      <c r="AH9" s="101"/>
      <c r="AI9" s="101"/>
      <c r="AJ9" s="101"/>
      <c r="AK9" s="101"/>
      <c r="AL9" s="101"/>
      <c r="AM9" s="101"/>
      <c r="AN9" s="101"/>
      <c r="AO9" s="196"/>
      <c r="AP9" s="196"/>
      <c r="AQ9" s="196"/>
      <c r="AR9" s="196"/>
      <c r="AS9" s="196"/>
      <c r="AT9" s="196"/>
      <c r="AU9" s="196"/>
      <c r="AV9" s="196"/>
      <c r="AW9" s="196"/>
      <c r="AX9"/>
      <c r="AY9" s="107" t="s">
        <v>828</v>
      </c>
      <c r="AZ9" s="399" t="str">
        <f ca="1">NEWCONCODE</f>
        <v>IECC 2012</v>
      </c>
    </row>
    <row r="10" spans="1:71" s="104" customFormat="1" ht="15.95" customHeight="1">
      <c r="B10" s="80"/>
      <c r="C10" s="80"/>
      <c r="D10" s="80"/>
      <c r="F10"/>
      <c r="G10" s="932"/>
      <c r="H10" s="932"/>
      <c r="I10" s="932"/>
      <c r="J10" s="932"/>
      <c r="K10" s="932"/>
      <c r="L10" s="932"/>
      <c r="M10" s="932"/>
      <c r="N10" s="932"/>
      <c r="O10" s="932"/>
      <c r="P10" s="932"/>
      <c r="Q10" s="932"/>
      <c r="R10" s="932"/>
      <c r="S10" s="932"/>
      <c r="T10" s="932"/>
      <c r="U10" s="932"/>
      <c r="V10" s="932"/>
      <c r="W10" s="932"/>
      <c r="X10" s="932"/>
      <c r="Y10" s="932"/>
      <c r="Z10" s="932"/>
      <c r="AA10" s="926"/>
      <c r="AB10" s="926"/>
      <c r="AC10" s="926"/>
      <c r="AD10" s="926"/>
      <c r="AE10" s="80"/>
      <c r="AF10"/>
      <c r="AG10" s="79"/>
      <c r="AH10" s="79"/>
      <c r="AI10" s="79"/>
      <c r="AJ10" s="79"/>
      <c r="AK10" s="79"/>
      <c r="AL10" s="79"/>
      <c r="AM10" s="79"/>
      <c r="AN10" s="79"/>
      <c r="AO10" s="21"/>
      <c r="AP10" s="21"/>
      <c r="AQ10" s="80"/>
      <c r="AR10" s="80"/>
      <c r="AX10"/>
    </row>
    <row r="11" spans="1:71" ht="15.95" customHeight="1">
      <c r="B11" s="97"/>
      <c r="C11" s="97"/>
      <c r="D11" s="97"/>
      <c r="F11"/>
      <c r="G11" s="932"/>
      <c r="H11" s="932"/>
      <c r="I11" s="932"/>
      <c r="J11" s="932"/>
      <c r="K11" s="932"/>
      <c r="L11" s="932"/>
      <c r="M11" s="932"/>
      <c r="N11" s="932"/>
      <c r="O11" s="932"/>
      <c r="P11" s="932"/>
      <c r="Q11" s="932"/>
      <c r="R11" s="932"/>
      <c r="S11" s="932"/>
      <c r="T11" s="932"/>
      <c r="U11" s="932"/>
      <c r="V11" s="932"/>
      <c r="W11" s="932"/>
      <c r="X11" s="932"/>
      <c r="Y11" s="932"/>
      <c r="Z11" s="932"/>
      <c r="AA11" s="926"/>
      <c r="AB11" s="926"/>
      <c r="AC11" s="926"/>
      <c r="AD11" s="926"/>
      <c r="AE11" s="97"/>
      <c r="AF11"/>
      <c r="AG11"/>
      <c r="AH11"/>
      <c r="AI11"/>
      <c r="AJ11"/>
      <c r="AK11"/>
      <c r="AL11"/>
      <c r="AM11"/>
      <c r="AN11"/>
      <c r="AQ11" s="97"/>
      <c r="AR11" s="97"/>
    </row>
    <row r="12" spans="1:71" ht="15.95" customHeight="1">
      <c r="A12" s="77"/>
      <c r="B12" s="77"/>
      <c r="C12" s="77"/>
      <c r="D12" s="77"/>
      <c r="E12" s="77"/>
      <c r="R12" s="789">
        <f>SUM(AN18:AQ184)</f>
        <v>0</v>
      </c>
      <c r="S12" s="789"/>
      <c r="T12" s="789"/>
      <c r="U12" s="789"/>
      <c r="V12" s="789">
        <f ca="1">SUMIF(AN18:AQ184,"&gt;0",AH18:AJ184)</f>
        <v>0</v>
      </c>
      <c r="W12" s="789"/>
      <c r="X12" s="789"/>
      <c r="Y12" s="789"/>
      <c r="Z12" s="790">
        <f ca="1">SUMIF(AN18:AQ184,"&gt;0",AK18:AM184)</f>
        <v>0</v>
      </c>
      <c r="AA12" s="790"/>
      <c r="AB12" s="790"/>
      <c r="AC12" s="790"/>
    </row>
    <row r="13" spans="1:71" ht="15.95" customHeight="1">
      <c r="A13" s="77"/>
      <c r="B13" s="77"/>
      <c r="C13"/>
      <c r="D13"/>
      <c r="E13"/>
      <c r="F13"/>
      <c r="G13"/>
      <c r="H13"/>
      <c r="I13"/>
      <c r="J13"/>
      <c r="K13"/>
      <c r="L13"/>
      <c r="M13"/>
      <c r="N13"/>
      <c r="O13"/>
      <c r="P13"/>
      <c r="R13" s="789"/>
      <c r="S13" s="789"/>
      <c r="T13" s="789"/>
      <c r="U13" s="789"/>
      <c r="V13" s="789"/>
      <c r="W13" s="789"/>
      <c r="X13" s="789"/>
      <c r="Y13" s="789"/>
      <c r="Z13" s="790"/>
      <c r="AA13" s="790"/>
      <c r="AB13" s="790"/>
      <c r="AC13" s="790"/>
      <c r="AI13" s="786" t="str">
        <f>IF(IFERROR(MATCH("100% Incremental Cost", BP:BP, 0), FALSE), "The incentive for one or more measures is capped due to measure cost.", "")</f>
        <v/>
      </c>
      <c r="AJ13" s="786"/>
      <c r="AK13" s="786"/>
      <c r="AL13" s="786"/>
      <c r="AM13" s="786"/>
      <c r="AN13" s="786"/>
      <c r="AO13" s="786"/>
      <c r="AP13" s="786"/>
      <c r="AQ13" s="786"/>
    </row>
    <row r="14" spans="1:71" ht="15.95" customHeight="1">
      <c r="C14"/>
      <c r="D14"/>
      <c r="E14"/>
      <c r="F14"/>
      <c r="G14"/>
      <c r="H14"/>
      <c r="I14"/>
      <c r="J14"/>
      <c r="K14"/>
      <c r="L14"/>
      <c r="M14"/>
      <c r="N14"/>
      <c r="O14"/>
      <c r="P14"/>
      <c r="R14" s="793" t="s">
        <v>1204</v>
      </c>
      <c r="S14" s="793"/>
      <c r="T14" s="793"/>
      <c r="U14" s="793"/>
      <c r="V14" s="793" t="s">
        <v>4</v>
      </c>
      <c r="W14" s="793"/>
      <c r="X14" s="793"/>
      <c r="Y14" s="793"/>
      <c r="Z14" s="793" t="s">
        <v>776</v>
      </c>
      <c r="AA14" s="793"/>
      <c r="AB14" s="793"/>
      <c r="AC14" s="793"/>
      <c r="AI14" s="786"/>
      <c r="AJ14" s="786"/>
      <c r="AK14" s="786"/>
      <c r="AL14" s="786"/>
      <c r="AM14" s="786"/>
      <c r="AN14" s="786"/>
      <c r="AO14" s="786"/>
      <c r="AP14" s="786"/>
      <c r="AQ14" s="786"/>
    </row>
    <row r="15" spans="1:71" ht="15.95" customHeight="1"/>
    <row r="16" spans="1:71" ht="15.95" customHeight="1">
      <c r="C16" s="794" t="s">
        <v>811</v>
      </c>
      <c r="D16" s="794"/>
      <c r="E16" s="794"/>
      <c r="F16" s="794"/>
      <c r="G16" s="794"/>
      <c r="H16" s="794"/>
      <c r="I16" s="794"/>
      <c r="J16" s="794"/>
      <c r="K16" s="794"/>
      <c r="L16" s="794" t="s">
        <v>840</v>
      </c>
      <c r="M16" s="794"/>
      <c r="N16" s="794"/>
      <c r="O16" s="794"/>
      <c r="P16" s="794"/>
      <c r="Q16" s="794" t="s">
        <v>1971</v>
      </c>
      <c r="R16" s="794"/>
      <c r="S16" s="794"/>
      <c r="T16" s="794" t="s">
        <v>841</v>
      </c>
      <c r="U16" s="794"/>
      <c r="V16" s="794"/>
      <c r="W16" s="794"/>
      <c r="X16" s="794"/>
      <c r="Y16" s="794" t="s">
        <v>1972</v>
      </c>
      <c r="Z16" s="794"/>
      <c r="AA16" s="794"/>
      <c r="AB16" s="794" t="s">
        <v>1525</v>
      </c>
      <c r="AC16" s="794"/>
      <c r="AD16" s="794"/>
      <c r="AE16" s="794" t="s">
        <v>1526</v>
      </c>
      <c r="AF16" s="794"/>
      <c r="AG16" s="794"/>
      <c r="AH16" s="794" t="s">
        <v>832</v>
      </c>
      <c r="AI16" s="794"/>
      <c r="AJ16" s="794"/>
      <c r="AK16" s="794" t="s">
        <v>725</v>
      </c>
      <c r="AL16" s="794"/>
      <c r="AM16" s="794"/>
      <c r="AN16" s="794" t="s">
        <v>20</v>
      </c>
      <c r="AO16" s="794"/>
      <c r="AP16" s="794"/>
      <c r="AQ16" s="794"/>
      <c r="AR16"/>
      <c r="AS16"/>
      <c r="AT16"/>
      <c r="AU16"/>
      <c r="AV16"/>
      <c r="AW16"/>
      <c r="AY16" s="796" t="s">
        <v>48</v>
      </c>
      <c r="AZ16" s="796" t="s">
        <v>198</v>
      </c>
      <c r="BA16" s="796" t="s">
        <v>733</v>
      </c>
      <c r="BB16" s="796" t="s">
        <v>2039</v>
      </c>
      <c r="BC16" s="796" t="s">
        <v>850</v>
      </c>
      <c r="BD16" s="796" t="s">
        <v>300</v>
      </c>
      <c r="BE16" s="796" t="s">
        <v>822</v>
      </c>
      <c r="BF16" s="796" t="s">
        <v>25</v>
      </c>
      <c r="BG16" s="796" t="s">
        <v>836</v>
      </c>
      <c r="BH16" s="796" t="s">
        <v>838</v>
      </c>
      <c r="BI16" s="796" t="s">
        <v>1012</v>
      </c>
      <c r="BJ16" s="798" t="s">
        <v>1321</v>
      </c>
      <c r="BK16" s="798" t="s">
        <v>320</v>
      </c>
      <c r="BL16" s="796"/>
      <c r="BM16" s="796"/>
      <c r="BN16" s="796" t="s">
        <v>1240</v>
      </c>
      <c r="BO16" s="796" t="s">
        <v>22</v>
      </c>
      <c r="BP16" s="796" t="s">
        <v>837</v>
      </c>
      <c r="BQ16" s="796" t="s">
        <v>185</v>
      </c>
      <c r="BR16" s="798" t="s">
        <v>1324</v>
      </c>
      <c r="BS16" s="798" t="s">
        <v>1903</v>
      </c>
    </row>
    <row r="17" spans="1:71" ht="15.95" customHeight="1" thickBot="1">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c r="AS17"/>
      <c r="AT17"/>
      <c r="AU17"/>
      <c r="AV17"/>
      <c r="AW17"/>
      <c r="AY17" s="797"/>
      <c r="AZ17" s="797"/>
      <c r="BA17" s="797"/>
      <c r="BB17" s="797"/>
      <c r="BC17" s="797"/>
      <c r="BD17" s="797"/>
      <c r="BE17" s="797"/>
      <c r="BF17" s="797"/>
      <c r="BG17" s="797"/>
      <c r="BH17" s="797"/>
      <c r="BI17" s="797"/>
      <c r="BJ17" s="799"/>
      <c r="BK17" s="799"/>
      <c r="BL17" s="797"/>
      <c r="BM17" s="797"/>
      <c r="BN17" s="797"/>
      <c r="BO17" s="797"/>
      <c r="BP17" s="797"/>
      <c r="BQ17" s="797"/>
      <c r="BR17" s="799"/>
      <c r="BS17" s="799"/>
    </row>
    <row r="18" spans="1:71" ht="15.95" customHeight="1">
      <c r="B18" s="800">
        <v>1</v>
      </c>
      <c r="C18" s="1107"/>
      <c r="D18" s="1108"/>
      <c r="E18" s="1108"/>
      <c r="F18" s="1108"/>
      <c r="G18" s="1108"/>
      <c r="H18" s="1108"/>
      <c r="I18" s="1108"/>
      <c r="J18" s="1108"/>
      <c r="K18" s="1108"/>
      <c r="L18" s="1079"/>
      <c r="M18" s="1079"/>
      <c r="N18" s="1079"/>
      <c r="O18" s="1079"/>
      <c r="P18" s="1118"/>
      <c r="Q18" s="1116"/>
      <c r="R18" s="1076"/>
      <c r="S18" s="1076"/>
      <c r="T18" s="1079"/>
      <c r="U18" s="1079"/>
      <c r="V18" s="1079"/>
      <c r="W18" s="1079"/>
      <c r="X18" s="1118"/>
      <c r="Y18" s="1116"/>
      <c r="Z18" s="1076"/>
      <c r="AA18" s="1076"/>
      <c r="AB18" s="1109"/>
      <c r="AC18" s="1109"/>
      <c r="AD18" s="1110"/>
      <c r="AE18" s="1111"/>
      <c r="AF18" s="1112"/>
      <c r="AG18" s="1112"/>
      <c r="AH18" s="1114" t="str">
        <f>IF(OR(C18="",L18="",Q18="",T18="",Y18="",AB18="",AE18=""),"",ROUND(AE18-AB18,2))</f>
        <v/>
      </c>
      <c r="AI18" s="1114"/>
      <c r="AJ18" s="1115"/>
      <c r="AK18" s="831" t="str">
        <f>IF(OR(C18="",L18="",Q18="",T18="",Y18="",AB18="",AE18=""),"",IF(BD18-BE18&lt;=0,0,ROUND(BD18-BE18,0)))</f>
        <v/>
      </c>
      <c r="AL18" s="831"/>
      <c r="AM18" s="831"/>
      <c r="AN18" s="833" t="str">
        <f>IF(OR(C18="",L18="",Q18="",T18="",Y18="",AB18="",AE18=""),"",
IF(BQ18&lt;&gt;"",BQ18,IF(BS18&gt;0,BS18,
IF(ACTIVEBLOCK_N="Yes",ROUND(MIN(AH18*INCCOSTCAP,AK18*BLOCKBIDRATE),2),
ROUND(MIN(AH18*INCCOSTCAP,BJ18),2))
)))</f>
        <v/>
      </c>
      <c r="AO18" s="833"/>
      <c r="AP18" s="833"/>
      <c r="AQ18" s="833"/>
      <c r="AR18"/>
      <c r="AS18"/>
      <c r="AT18"/>
      <c r="AU18"/>
      <c r="AV18"/>
      <c r="AW18"/>
      <c r="AY18" s="835" t="str">
        <f>IFERROR(IF(OR(C18="",L18="",Q18="",T18="",Y18="",AB18="",AE18=""),"",ROUND(BR18/AH18,2)),0)</f>
        <v/>
      </c>
      <c r="AZ18" s="835" t="str">
        <f>IFERROR(AH18/N02S03F14/AK18,"")</f>
        <v/>
      </c>
      <c r="BA18" s="815" t="str">
        <f>IF(C18="","",INDEX(CMEMISC_N[Unit of Measure],MATCH(C18,CMEMISC_N[Proj Desc 1],0)))</f>
        <v/>
      </c>
      <c r="BB18" s="849" t="str">
        <f>IF(AK18&lt;&gt;"","Missing!","")</f>
        <v/>
      </c>
      <c r="BC18" s="849" t="str">
        <f>IF(AK18&lt;&gt;"","Missing!","")</f>
        <v/>
      </c>
      <c r="BD18" s="837" t="str">
        <f>IF(OR(C18="",L18="",Q18="",T18="",Y18="",AB18="",AE18=""),"",ROUND(Q18,0))</f>
        <v/>
      </c>
      <c r="BE18" s="837" t="str">
        <f>IF(OR(C18="",L18="",Q18="",T18="",Y18="",AB18="",AE18=""),"",ROUND(Y18,0))</f>
        <v/>
      </c>
      <c r="BF18" s="843" t="str">
        <f>IF(C18="","",IF(INDEX(CMEMISC_N[EUL],MATCH(C18,CMEMISC_N[Proj Desc 1],0))="","",INDEX(CMEMISC_N[EUL],MATCH(C18,CMEMISC_N[Proj Desc 1],0))))</f>
        <v/>
      </c>
      <c r="BG18" s="845" t="str">
        <f>IF(C18="","",IF(INDEX(CMEMISC_N[End Use Category],MATCH(C18,CMEMISC_N[Proj Desc 1],0))="","",INDEX(CMEMISC_N[End Use Category],MATCH(C18,CMEMISC_N[Proj Desc 1],0))))</f>
        <v/>
      </c>
      <c r="BH18" s="837" t="str">
        <f>IFERROR(IF(OR(C18="",L18="",Q18="",T18="",Y18="",AB18="",AE18=""),"",ROUND(AK18*INDEX(ENDUSEALL[Factor],MATCH(BG18,ENDUSEALL[End Use to Coincident Peak Demand Factors],0)),4)),"")</f>
        <v/>
      </c>
      <c r="BI18" s="874"/>
      <c r="BJ18" s="787" t="str">
        <f>IFERROR(ROUND(AK18*BK18,2),"")</f>
        <v/>
      </c>
      <c r="BK18" s="787" t="str">
        <f>_xlfn.LET(_xlpm.ROWS,MATCH(BG18,ENDUSEALL[End Use to Coincident Peak Demand Factors],0),IFERROR(INDEX(IF(AND(ACTIVEBONUS_N = TRUE,INDEX(ENDUSEALL[Bonus Rate ($/kWh)],_xlpm.ROWS)&lt;&gt;""),ENDUSEALL[Bonus Rate ($/kWh)],ENDUSEALL[Rate ($/kWh)]),_xlpm.ROWS),""))</f>
        <v/>
      </c>
      <c r="BL18" s="829"/>
      <c r="BM18" s="829"/>
      <c r="BN18" s="1069" t="str">
        <f>_xlfn.LET(_xlpm.BONUS_RATE,INDEX(ENDUSEALL[Bonus Rate ($/kWh)],MATCH(BG18,ENDUSEALL[End Use to Coincident Peak Demand Factors],0)),_xlpm.BASE_RATE,INDEX(ENDUSEALL[Rate ($/kWh)],MATCH(BG18,ENDUSEALL[End Use to Coincident Peak Demand Factors],0)),IFERROR(IF(OR(ACTIVEBONUS_N &lt;&gt; TRUE,ISNUMBER(AN18) = FALSE,BS18 &lt;&gt; ""),"",AN18-(AK18*_xlpm.BASE_RATE)),""))</f>
        <v/>
      </c>
      <c r="BO18" s="1070" t="str">
        <f>IF(OR(C18="",L18="",Q18="",T18="",Y18="",AB18="",AE18=""),"",IF(BQ18&lt;&gt;"",SPILLOVERNUMBER,INDEX(CMEMISC_N[Measure Number],MATCH(C18,CMEMISC_N[Proj Desc 1],0))))</f>
        <v/>
      </c>
      <c r="BP18" s="815" t="str">
        <f>IFERROR(
IF(BS18="",
IF(AND(ROUND(AN18/AH18,2)=INCCOSTCAP,BJ18/AH18&gt;INCCOSTCAP),
"100% Incremental Cost",
IF(BK18&lt;KWHRATEMIN,
"kWh Incentive Rate Min",
IF(BK18&gt;KWHRATEMAX,
"kWh Incentive Rate Cap",
IF(AN18=BN18,
"Bonus Incentive",
"kWh Incentive"
)))),""),
"")</f>
        <v/>
      </c>
      <c r="BQ18" s="815" t="str">
        <f ca="1">IFERROR(IF(EXPIRATION&lt;&gt;"",PROJSTATEXP,
IF(BS18&gt;0,"",
IF(BD18-BE18&lt;=0,MEASURESAVE,
IF(OR(N02S03F14="",N02S03F14="Select Rate Code",N02S03F14=0),MEASURERATE,
IF(AND(ISNUMBER(SEARCH("Others",C18)),OR(BF18="",BG18="")),MEASURESUBMIT,
IF(AH18&lt;=0,MEASUREINCR,
IF(PAYPROJ_N&lt;PAYBACKREQ,PROJECTSTATPAYBACK,
IF(CBPROJ_N&lt;CBREQ,PROJECTSTATCB,"")))))))),MEASURESUBMIT)</f>
        <v>Submit for Review</v>
      </c>
      <c r="BR18" s="787" t="str">
        <f>IFERROR(IF(OR(C18="",L18="",Q18="",T18="",Y18="",AB18="",AE18=""),"",
ROUND(((1+ELOSS)*((AK18*INDEX(ELECCB[NPV AEC $/kWh],MATCH(BF18,ELECCB[Year Number],1)))+(BH18*INDEX(ELECCB[NPV ACC $/kW],MATCH(BF18,ELECCB[Year Number],1))))),2)),0)</f>
        <v/>
      </c>
      <c r="BS18" s="853"/>
    </row>
    <row r="19" spans="1:71" ht="15.95" customHeight="1">
      <c r="B19" s="800"/>
      <c r="C19" s="1091"/>
      <c r="D19" s="1092"/>
      <c r="E19" s="1092"/>
      <c r="F19" s="1092"/>
      <c r="G19" s="1092"/>
      <c r="H19" s="1092"/>
      <c r="I19" s="1092"/>
      <c r="J19" s="1092"/>
      <c r="K19" s="1092"/>
      <c r="L19" s="1081"/>
      <c r="M19" s="1081"/>
      <c r="N19" s="1081"/>
      <c r="O19" s="1081"/>
      <c r="P19" s="1119"/>
      <c r="Q19" s="1117"/>
      <c r="R19" s="1078"/>
      <c r="S19" s="1078"/>
      <c r="T19" s="1081"/>
      <c r="U19" s="1081"/>
      <c r="V19" s="1081"/>
      <c r="W19" s="1081"/>
      <c r="X19" s="1119"/>
      <c r="Y19" s="1117"/>
      <c r="Z19" s="1078"/>
      <c r="AA19" s="1078"/>
      <c r="AB19" s="1093"/>
      <c r="AC19" s="1093"/>
      <c r="AD19" s="1094"/>
      <c r="AE19" s="1095"/>
      <c r="AF19" s="1096"/>
      <c r="AG19" s="1096"/>
      <c r="AH19" s="1105"/>
      <c r="AI19" s="1105"/>
      <c r="AJ19" s="1106"/>
      <c r="AK19" s="832"/>
      <c r="AL19" s="832"/>
      <c r="AM19" s="832"/>
      <c r="AN19" s="834"/>
      <c r="AO19" s="834"/>
      <c r="AP19" s="834"/>
      <c r="AQ19" s="834"/>
      <c r="AR19"/>
      <c r="AS19"/>
      <c r="AT19"/>
      <c r="AU19"/>
      <c r="AV19"/>
      <c r="AW19"/>
      <c r="AY19" s="836"/>
      <c r="AZ19" s="836"/>
      <c r="BA19" s="816"/>
      <c r="BB19" s="850"/>
      <c r="BC19" s="850"/>
      <c r="BD19" s="838"/>
      <c r="BE19" s="838"/>
      <c r="BF19" s="844"/>
      <c r="BG19" s="846"/>
      <c r="BH19" s="838"/>
      <c r="BI19" s="875"/>
      <c r="BJ19" s="788"/>
      <c r="BK19" s="788"/>
      <c r="BL19" s="830"/>
      <c r="BM19" s="830"/>
      <c r="BN19" s="1090"/>
      <c r="BO19" s="1071"/>
      <c r="BP19" s="816"/>
      <c r="BQ19" s="816"/>
      <c r="BR19" s="788"/>
      <c r="BS19" s="854"/>
    </row>
    <row r="20" spans="1:71" ht="15.95" customHeight="1">
      <c r="A20" s="76"/>
      <c r="B20" s="800">
        <v>2</v>
      </c>
      <c r="C20" s="1091"/>
      <c r="D20" s="1092"/>
      <c r="E20" s="1092"/>
      <c r="F20" s="1092"/>
      <c r="G20" s="1092"/>
      <c r="H20" s="1092"/>
      <c r="I20" s="1092"/>
      <c r="J20" s="1092"/>
      <c r="K20" s="1092"/>
      <c r="L20" s="1083"/>
      <c r="M20" s="1083"/>
      <c r="N20" s="1083"/>
      <c r="O20" s="1083"/>
      <c r="P20" s="1121"/>
      <c r="Q20" s="1120"/>
      <c r="R20" s="1086"/>
      <c r="S20" s="1086"/>
      <c r="T20" s="1083"/>
      <c r="U20" s="1083"/>
      <c r="V20" s="1083"/>
      <c r="W20" s="1083"/>
      <c r="X20" s="1121"/>
      <c r="Y20" s="1120"/>
      <c r="Z20" s="1086"/>
      <c r="AA20" s="1086"/>
      <c r="AB20" s="1093"/>
      <c r="AC20" s="1093"/>
      <c r="AD20" s="1094"/>
      <c r="AE20" s="1095"/>
      <c r="AF20" s="1096"/>
      <c r="AG20" s="1096"/>
      <c r="AH20" s="1103" t="str">
        <f t="shared" ref="AH20" si="0">IF(OR(C20="",L20="",Q20="",T20="",Y20="",AB20="",AE20=""),"",ROUND(AE20-AB20,2))</f>
        <v/>
      </c>
      <c r="AI20" s="1103"/>
      <c r="AJ20" s="1104"/>
      <c r="AK20" s="831" t="str">
        <f t="shared" ref="AK20" si="1">IF(OR(C20="",L20="",Q20="",T20="",Y20="",AB20="",AE20=""),"",IF(BD20-BE20&lt;=0,0,ROUND(BD20-BE20,0)))</f>
        <v/>
      </c>
      <c r="AL20" s="831"/>
      <c r="AM20" s="831"/>
      <c r="AN20" s="1097" t="str">
        <f>IF(OR(C20="",L20="",Q20="",T20="",Y20="",AB20="",AE20=""),"",
IF(BQ20&lt;&gt;"",BQ20,IF(BS20&gt;0,BS20,
IF(ACTIVEBLOCK_N="Yes",ROUND(MIN(AH20*INCCOSTCAP,AK20*BLOCKBIDRATE),2),
ROUND(MIN(AH20*INCCOSTCAP,BJ20),2))
)))</f>
        <v/>
      </c>
      <c r="AO20" s="1098"/>
      <c r="AP20" s="1098"/>
      <c r="AQ20" s="1099"/>
      <c r="AR20"/>
      <c r="AS20"/>
      <c r="AT20"/>
      <c r="AU20"/>
      <c r="AV20"/>
      <c r="AW20"/>
      <c r="AY20" s="835" t="str">
        <f t="shared" ref="AY20" si="2">IFERROR(IF(OR(C20="",L20="",Q20="",T20="",Y20="",AB20="",AE20=""),"",ROUND(BR20/AH20,2)),0)</f>
        <v/>
      </c>
      <c r="AZ20" s="835" t="str">
        <f>IFERROR(AH20/N02S03F14/AK20,"")</f>
        <v/>
      </c>
      <c r="BA20" s="815" t="str">
        <f>IF(C20="","",INDEX(CMEMISC_N[Unit of Measure],MATCH(C20,CMEMISC_N[Proj Desc 1],0)))</f>
        <v/>
      </c>
      <c r="BB20" s="849" t="str">
        <f t="shared" ref="BB20" si="3">IF(AK20&lt;&gt;"","Missing!","")</f>
        <v/>
      </c>
      <c r="BC20" s="849" t="str">
        <f t="shared" ref="BC20" si="4">IF(AK20&lt;&gt;"","Missing!","")</f>
        <v/>
      </c>
      <c r="BD20" s="837" t="str">
        <f t="shared" ref="BD20" si="5">IF(OR(C20="",L20="",Q20="",T20="",Y20="",AB20="",AE20=""),"",ROUND(Q20,0))</f>
        <v/>
      </c>
      <c r="BE20" s="837" t="str">
        <f t="shared" ref="BE20" si="6">IF(OR(C20="",L20="",Q20="",T20="",Y20="",AB20="",AE20=""),"",ROUND(Y20,0))</f>
        <v/>
      </c>
      <c r="BF20" s="843" t="str">
        <f>IF(C20="","",IF(INDEX(CMEMISC_N[EUL],MATCH(C20,CMEMISC_N[Proj Desc 1],0))="","",INDEX(CMEMISC_N[EUL],MATCH(C20,CMEMISC_N[Proj Desc 1],0))))</f>
        <v/>
      </c>
      <c r="BG20" s="845" t="str">
        <f>IF(C20="","",IF(INDEX(CMEMISC_N[End Use Category],MATCH(C20,CMEMISC_N[Proj Desc 1],0))="","",INDEX(CMEMISC_N[End Use Category],MATCH(C20,CMEMISC_N[Proj Desc 1],0))))</f>
        <v/>
      </c>
      <c r="BH20" s="837" t="str">
        <f>IFERROR(IF(OR(C20="",L20="",Q20="",T20="",Y20="",AB20="",AE20=""),"",ROUND(AK20*INDEX(ENDUSEALL[Factor],MATCH(BG20,ENDUSEALL[End Use to Coincident Peak Demand Factors],0)),4)),"")</f>
        <v/>
      </c>
      <c r="BI20" s="874"/>
      <c r="BJ20" s="787" t="str">
        <f>IFERROR(ROUND(AK20*BK20,2),"")</f>
        <v/>
      </c>
      <c r="BK20" s="1067" t="str">
        <f>_xlfn.LET(_xlpm.ROWS,MATCH(BG20,ENDUSEALL[End Use to Coincident Peak Demand Factors],0),IFERROR(INDEX(IF(AND(ACTIVEBONUS_N = TRUE,INDEX(ENDUSEALL[Bonus Rate ($/kWh)],_xlpm.ROWS)&lt;&gt;""),ENDUSEALL[Bonus Rate ($/kWh)],ENDUSEALL[Rate ($/kWh)]),_xlpm.ROWS),""))</f>
        <v/>
      </c>
      <c r="BL20" s="829"/>
      <c r="BM20" s="829"/>
      <c r="BN20" s="1068" t="str">
        <f>_xlfn.LET(_xlpm.BONUS_RATE,INDEX(ENDUSEALL[Bonus Rate ($/kWh)],MATCH(BG20,ENDUSEALL[End Use to Coincident Peak Demand Factors],0)),_xlpm.BASE_RATE,INDEX(ENDUSEALL[Rate ($/kWh)],MATCH(BG20,ENDUSEALL[End Use to Coincident Peak Demand Factors],0)),IFERROR(IF(OR(ACTIVEBONUS_N &lt;&gt; TRUE,ISNUMBER(AN20) = FALSE,BS20 &lt;&gt; ""),"",AN20-(AK20*_xlpm.BASE_RATE)),""))</f>
        <v/>
      </c>
      <c r="BO20" s="1070" t="str">
        <f>IF(OR(C20="",L20="",Q20="",T20="",Y20="",AB20="",AE20=""),"",IF(BQ20&lt;&gt;"",SPILLOVERNUMBER,INDEX(CMEMISC_N[Measure Number],MATCH(C20,CMEMISC_N[Proj Desc 1],0))))</f>
        <v/>
      </c>
      <c r="BP20" s="815" t="str">
        <f>IFERROR(
IF(BS20="",
IF(AND(ROUND(AN20/AH20,2)=INCCOSTCAP,BJ20/AH20&gt;INCCOSTCAP),
"100% Incremental Cost",
IF(BK20&lt;KWHRATEMIN,
"kWh Incentive Rate Min",
IF(BK20&gt;KWHRATEMAX,
"kWh Incentive Rate Cap",
IF(AN20=BN20,
"Bonus Incentive",
"kWh Incentive"
)))),""),
"")</f>
        <v/>
      </c>
      <c r="BQ20" s="815" t="str">
        <f ca="1">IFERROR(IF(EXPIRATION&lt;&gt;"",PROJSTATEXP,
IF(BS20&gt;0,"",
IF(BD20-BE20&lt;=0,MEASURESAVE,
IF(OR(N02S03F14="",N02S03F14="Select Rate Code",N02S03F14=0),MEASURERATE,
IF(AND(ISNUMBER(SEARCH("Others",C20)),OR(BF20="",BG20="")),MEASURESUBMIT,
IF(AH20&lt;=0,MEASUREINCR,
IF(PAYPROJ_N&lt;PAYBACKREQ,PROJECTSTATPAYBACK,
IF(CBPROJ_N&lt;CBREQ,PROJECTSTATCB,"")))))))),MEASURESUBMIT)</f>
        <v>Submit for Review</v>
      </c>
      <c r="BR20" s="787" t="str">
        <f>IFERROR(IF(OR(C20="",L20="",Q20="",T20="",Y20="",AB20="",AE20=""),"",
ROUND(((1+ELOSS)*((AK20*INDEX(ELECCB[NPV AEC $/kWh],MATCH(BF20,ELECCB[Year Number],1)))+(BH20*INDEX(ELECCB[NPV ACC $/kW],MATCH(BF20,ELECCB[Year Number],1))))),2)),0)</f>
        <v/>
      </c>
      <c r="BS20" s="853"/>
    </row>
    <row r="21" spans="1:71" ht="15.95" customHeight="1">
      <c r="B21" s="800"/>
      <c r="C21" s="1091"/>
      <c r="D21" s="1092"/>
      <c r="E21" s="1092"/>
      <c r="F21" s="1092"/>
      <c r="G21" s="1092"/>
      <c r="H21" s="1092"/>
      <c r="I21" s="1092"/>
      <c r="J21" s="1092"/>
      <c r="K21" s="1092"/>
      <c r="L21" s="1081"/>
      <c r="M21" s="1081"/>
      <c r="N21" s="1081"/>
      <c r="O21" s="1081"/>
      <c r="P21" s="1119"/>
      <c r="Q21" s="1117"/>
      <c r="R21" s="1078"/>
      <c r="S21" s="1078"/>
      <c r="T21" s="1081"/>
      <c r="U21" s="1081"/>
      <c r="V21" s="1081"/>
      <c r="W21" s="1081"/>
      <c r="X21" s="1119"/>
      <c r="Y21" s="1117"/>
      <c r="Z21" s="1078"/>
      <c r="AA21" s="1078"/>
      <c r="AB21" s="1093"/>
      <c r="AC21" s="1093"/>
      <c r="AD21" s="1094"/>
      <c r="AE21" s="1095"/>
      <c r="AF21" s="1096"/>
      <c r="AG21" s="1096"/>
      <c r="AH21" s="1105"/>
      <c r="AI21" s="1105"/>
      <c r="AJ21" s="1106"/>
      <c r="AK21" s="832"/>
      <c r="AL21" s="832"/>
      <c r="AM21" s="832"/>
      <c r="AN21" s="1100"/>
      <c r="AO21" s="1101"/>
      <c r="AP21" s="1101"/>
      <c r="AQ21" s="1102"/>
      <c r="AR21"/>
      <c r="AS21"/>
      <c r="AT21"/>
      <c r="AU21"/>
      <c r="AV21"/>
      <c r="AW21"/>
      <c r="AY21" s="836"/>
      <c r="AZ21" s="836"/>
      <c r="BA21" s="816"/>
      <c r="BB21" s="850"/>
      <c r="BC21" s="850"/>
      <c r="BD21" s="838"/>
      <c r="BE21" s="838"/>
      <c r="BF21" s="844"/>
      <c r="BG21" s="846"/>
      <c r="BH21" s="838"/>
      <c r="BI21" s="875"/>
      <c r="BJ21" s="788"/>
      <c r="BK21" s="787"/>
      <c r="BL21" s="830"/>
      <c r="BM21" s="830"/>
      <c r="BN21" s="1069"/>
      <c r="BO21" s="1071"/>
      <c r="BP21" s="816"/>
      <c r="BQ21" s="816"/>
      <c r="BR21" s="788"/>
      <c r="BS21" s="854"/>
    </row>
    <row r="22" spans="1:71" ht="15.95" customHeight="1">
      <c r="B22" s="800">
        <v>3</v>
      </c>
      <c r="C22" s="1091"/>
      <c r="D22" s="1092"/>
      <c r="E22" s="1092"/>
      <c r="F22" s="1092"/>
      <c r="G22" s="1092"/>
      <c r="H22" s="1092"/>
      <c r="I22" s="1092"/>
      <c r="J22" s="1092"/>
      <c r="K22" s="1092"/>
      <c r="L22" s="1083"/>
      <c r="M22" s="1083"/>
      <c r="N22" s="1083"/>
      <c r="O22" s="1083"/>
      <c r="P22" s="1121"/>
      <c r="Q22" s="1120"/>
      <c r="R22" s="1086"/>
      <c r="S22" s="1086"/>
      <c r="T22" s="1083"/>
      <c r="U22" s="1083"/>
      <c r="V22" s="1083"/>
      <c r="W22" s="1083"/>
      <c r="X22" s="1121"/>
      <c r="Y22" s="1120"/>
      <c r="Z22" s="1086"/>
      <c r="AA22" s="1086"/>
      <c r="AB22" s="1093"/>
      <c r="AC22" s="1093"/>
      <c r="AD22" s="1094"/>
      <c r="AE22" s="1095"/>
      <c r="AF22" s="1096"/>
      <c r="AG22" s="1096"/>
      <c r="AH22" s="1103" t="str">
        <f t="shared" ref="AH22" si="7">IF(OR(C22="",L22="",Q22="",T22="",Y22="",AB22="",AE22=""),"",ROUND(AE22-AB22,2))</f>
        <v/>
      </c>
      <c r="AI22" s="1103"/>
      <c r="AJ22" s="1104"/>
      <c r="AK22" s="831" t="str">
        <f t="shared" ref="AK22" si="8">IF(OR(C22="",L22="",Q22="",T22="",Y22="",AB22="",AE22=""),"",IF(BD22-BE22&lt;=0,0,ROUND(BD22-BE22,0)))</f>
        <v/>
      </c>
      <c r="AL22" s="831"/>
      <c r="AM22" s="831"/>
      <c r="AN22" s="1097" t="str">
        <f>IF(OR(C22="",L22="",Q22="",T22="",Y22="",AB22="",AE22=""),"",
IF(BQ22&lt;&gt;"",BQ22,IF(BS22&gt;0,BS22,
IF(ACTIVEBLOCK_N="Yes",ROUND(MIN(AH22*INCCOSTCAP,AK22*BLOCKBIDRATE),2),
ROUND(MIN(AH22*INCCOSTCAP,BJ22),2))
)))</f>
        <v/>
      </c>
      <c r="AO22" s="1098"/>
      <c r="AP22" s="1098"/>
      <c r="AQ22" s="1099"/>
      <c r="AR22"/>
      <c r="AS22"/>
      <c r="AT22"/>
      <c r="AU22"/>
      <c r="AV22"/>
      <c r="AW22"/>
      <c r="AY22" s="835" t="str">
        <f t="shared" ref="AY22" si="9">IFERROR(IF(OR(C22="",L22="",Q22="",T22="",Y22="",AB22="",AE22=""),"",ROUND(BR22/AH22,2)),0)</f>
        <v/>
      </c>
      <c r="AZ22" s="835" t="str">
        <f>IFERROR(AH22/N02S03F14/AK22,"")</f>
        <v/>
      </c>
      <c r="BA22" s="815" t="str">
        <f>IF(C22="","",INDEX(CMEMISC_N[Unit of Measure],MATCH(C22,CMEMISC_N[Proj Desc 1],0)))</f>
        <v/>
      </c>
      <c r="BB22" s="849" t="str">
        <f t="shared" ref="BB22" si="10">IF(AK22&lt;&gt;"","Missing!","")</f>
        <v/>
      </c>
      <c r="BC22" s="849" t="str">
        <f t="shared" ref="BC22" si="11">IF(AK22&lt;&gt;"","Missing!","")</f>
        <v/>
      </c>
      <c r="BD22" s="837" t="str">
        <f t="shared" ref="BD22" si="12">IF(OR(C22="",L22="",Q22="",T22="",Y22="",AB22="",AE22=""),"",ROUND(Q22,0))</f>
        <v/>
      </c>
      <c r="BE22" s="837" t="str">
        <f t="shared" ref="BE22" si="13">IF(OR(C22="",L22="",Q22="",T22="",Y22="",AB22="",AE22=""),"",ROUND(Y22,0))</f>
        <v/>
      </c>
      <c r="BF22" s="843" t="str">
        <f>IF(C22="","",IF(INDEX(CMEMISC_N[EUL],MATCH(C22,CMEMISC_N[Proj Desc 1],0))="","",INDEX(CMEMISC_N[EUL],MATCH(C22,CMEMISC_N[Proj Desc 1],0))))</f>
        <v/>
      </c>
      <c r="BG22" s="845" t="str">
        <f>IF(C22="","",IF(INDEX(CMEMISC_N[End Use Category],MATCH(C22,CMEMISC_N[Proj Desc 1],0))="","",INDEX(CMEMISC_N[End Use Category],MATCH(C22,CMEMISC_N[Proj Desc 1],0))))</f>
        <v/>
      </c>
      <c r="BH22" s="837" t="str">
        <f>IFERROR(IF(OR(C22="",L22="",Q22="",T22="",Y22="",AB22="",AE22=""),"",ROUND(AK22*INDEX(ENDUSEALL[Factor],MATCH(BG22,ENDUSEALL[End Use to Coincident Peak Demand Factors],0)),4)),"")</f>
        <v/>
      </c>
      <c r="BI22" s="874"/>
      <c r="BJ22" s="787" t="str">
        <f>IFERROR(ROUND(AK22*BK22,2),"")</f>
        <v/>
      </c>
      <c r="BK22" s="1067" t="str">
        <f>_xlfn.LET(_xlpm.ROWS,MATCH(BG22,ENDUSEALL[End Use to Coincident Peak Demand Factors],0),IFERROR(INDEX(IF(AND(ACTIVEBONUS_N = TRUE,INDEX(ENDUSEALL[Bonus Rate ($/kWh)],_xlpm.ROWS)&lt;&gt;""),ENDUSEALL[Bonus Rate ($/kWh)],ENDUSEALL[Rate ($/kWh)]),_xlpm.ROWS),""))</f>
        <v/>
      </c>
      <c r="BL22" s="829"/>
      <c r="BM22" s="829"/>
      <c r="BN22" s="1068" t="str">
        <f>_xlfn.LET(_xlpm.BONUS_RATE,INDEX(ENDUSEALL[Bonus Rate ($/kWh)],MATCH(BG22,ENDUSEALL[End Use to Coincident Peak Demand Factors],0)),_xlpm.BASE_RATE,INDEX(ENDUSEALL[Rate ($/kWh)],MATCH(BG22,ENDUSEALL[End Use to Coincident Peak Demand Factors],0)),IFERROR(IF(OR(ACTIVEBONUS_N &lt;&gt; TRUE,ISNUMBER(AN22) = FALSE,BS22 &lt;&gt; ""),"",AN22-(AK22*_xlpm.BASE_RATE)),""))</f>
        <v/>
      </c>
      <c r="BO22" s="1070" t="str">
        <f>IF(OR(C22="",L22="",Q22="",T22="",Y22="",AB22="",AE22=""),"",IF(BQ22&lt;&gt;"",SPILLOVERNUMBER,INDEX(CMEMISC_N[Measure Number],MATCH(C22,CMEMISC_N[Proj Desc 1],0))))</f>
        <v/>
      </c>
      <c r="BP22" s="815" t="str">
        <f>IFERROR(
IF(BS22="",
IF(AND(ROUND(AN22/AH22,2)=INCCOSTCAP,BJ22/AH22&gt;INCCOSTCAP),
"100% Incremental Cost",
IF(BK22&lt;KWHRATEMIN,
"kWh Incentive Rate Min",
IF(BK22&gt;KWHRATEMAX,
"kWh Incentive Rate Cap",
IF(AN22=BN22,
"Bonus Incentive",
"kWh Incentive"
)))),""),
"")</f>
        <v/>
      </c>
      <c r="BQ22" s="815" t="str">
        <f ca="1">IFERROR(IF(EXPIRATION&lt;&gt;"",PROJSTATEXP,
IF(BS22&gt;0,"",
IF(BD22-BE22&lt;=0,MEASURESAVE,
IF(OR(N02S03F14="",N02S03F14="Select Rate Code",N02S03F14=0),MEASURERATE,
IF(AND(ISNUMBER(SEARCH("Others",C22)),OR(BF22="",BG22="")),MEASURESUBMIT,
IF(AH22&lt;=0,MEASUREINCR,
IF(PAYPROJ_N&lt;PAYBACKREQ,PROJECTSTATPAYBACK,
IF(CBPROJ_N&lt;CBREQ,PROJECTSTATCB,"")))))))),MEASURESUBMIT)</f>
        <v>Submit for Review</v>
      </c>
      <c r="BR22" s="787" t="str">
        <f>IFERROR(IF(OR(C22="",L22="",Q22="",T22="",Y22="",AB22="",AE22=""),"",
ROUND(((1+ELOSS)*((AK22*INDEX(ELECCB[NPV AEC $/kWh],MATCH(BF22,ELECCB[Year Number],1)))+(BH22*INDEX(ELECCB[NPV ACC $/kW],MATCH(BF22,ELECCB[Year Number],1))))),2)),0)</f>
        <v/>
      </c>
      <c r="BS22" s="853"/>
    </row>
    <row r="23" spans="1:71" ht="15.95" customHeight="1">
      <c r="A23" s="76"/>
      <c r="B23" s="800"/>
      <c r="C23" s="1091"/>
      <c r="D23" s="1092"/>
      <c r="E23" s="1092"/>
      <c r="F23" s="1092"/>
      <c r="G23" s="1092"/>
      <c r="H23" s="1092"/>
      <c r="I23" s="1092"/>
      <c r="J23" s="1092"/>
      <c r="K23" s="1092"/>
      <c r="L23" s="1081"/>
      <c r="M23" s="1081"/>
      <c r="N23" s="1081"/>
      <c r="O23" s="1081"/>
      <c r="P23" s="1119"/>
      <c r="Q23" s="1117"/>
      <c r="R23" s="1078"/>
      <c r="S23" s="1078"/>
      <c r="T23" s="1081"/>
      <c r="U23" s="1081"/>
      <c r="V23" s="1081"/>
      <c r="W23" s="1081"/>
      <c r="X23" s="1119"/>
      <c r="Y23" s="1117"/>
      <c r="Z23" s="1078"/>
      <c r="AA23" s="1078"/>
      <c r="AB23" s="1093"/>
      <c r="AC23" s="1093"/>
      <c r="AD23" s="1094"/>
      <c r="AE23" s="1095"/>
      <c r="AF23" s="1096"/>
      <c r="AG23" s="1096"/>
      <c r="AH23" s="1105"/>
      <c r="AI23" s="1105"/>
      <c r="AJ23" s="1106"/>
      <c r="AK23" s="832"/>
      <c r="AL23" s="832"/>
      <c r="AM23" s="832"/>
      <c r="AN23" s="1100"/>
      <c r="AO23" s="1101"/>
      <c r="AP23" s="1101"/>
      <c r="AQ23" s="1102"/>
      <c r="AR23"/>
      <c r="AS23"/>
      <c r="AT23"/>
      <c r="AU23"/>
      <c r="AV23"/>
      <c r="AW23"/>
      <c r="AY23" s="836"/>
      <c r="AZ23" s="836"/>
      <c r="BA23" s="816"/>
      <c r="BB23" s="850"/>
      <c r="BC23" s="850"/>
      <c r="BD23" s="838"/>
      <c r="BE23" s="838"/>
      <c r="BF23" s="844"/>
      <c r="BG23" s="846"/>
      <c r="BH23" s="838"/>
      <c r="BI23" s="875"/>
      <c r="BJ23" s="788"/>
      <c r="BK23" s="787"/>
      <c r="BL23" s="830"/>
      <c r="BM23" s="830"/>
      <c r="BN23" s="1069"/>
      <c r="BO23" s="1071"/>
      <c r="BP23" s="816"/>
      <c r="BQ23" s="816"/>
      <c r="BR23" s="788"/>
      <c r="BS23" s="854"/>
    </row>
    <row r="24" spans="1:71" ht="15.95" customHeight="1">
      <c r="B24" s="800">
        <v>4</v>
      </c>
      <c r="C24" s="1091"/>
      <c r="D24" s="1092"/>
      <c r="E24" s="1092"/>
      <c r="F24" s="1092"/>
      <c r="G24" s="1092"/>
      <c r="H24" s="1092"/>
      <c r="I24" s="1092"/>
      <c r="J24" s="1092"/>
      <c r="K24" s="1092"/>
      <c r="L24" s="1083"/>
      <c r="M24" s="1083"/>
      <c r="N24" s="1083"/>
      <c r="O24" s="1083"/>
      <c r="P24" s="1121"/>
      <c r="Q24" s="1120"/>
      <c r="R24" s="1086"/>
      <c r="S24" s="1086"/>
      <c r="T24" s="1083"/>
      <c r="U24" s="1083"/>
      <c r="V24" s="1083"/>
      <c r="W24" s="1083"/>
      <c r="X24" s="1121"/>
      <c r="Y24" s="1120"/>
      <c r="Z24" s="1086"/>
      <c r="AA24" s="1086"/>
      <c r="AB24" s="1093"/>
      <c r="AC24" s="1093"/>
      <c r="AD24" s="1094"/>
      <c r="AE24" s="1095"/>
      <c r="AF24" s="1096"/>
      <c r="AG24" s="1096"/>
      <c r="AH24" s="1103" t="str">
        <f t="shared" ref="AH24" si="14">IF(OR(C24="",L24="",Q24="",T24="",Y24="",AB24="",AE24=""),"",ROUND(AE24-AB24,2))</f>
        <v/>
      </c>
      <c r="AI24" s="1103"/>
      <c r="AJ24" s="1104"/>
      <c r="AK24" s="831" t="str">
        <f t="shared" ref="AK24" si="15">IF(OR(C24="",L24="",Q24="",T24="",Y24="",AB24="",AE24=""),"",IF(BD24-BE24&lt;=0,0,ROUND(BD24-BE24,0)))</f>
        <v/>
      </c>
      <c r="AL24" s="831"/>
      <c r="AM24" s="831"/>
      <c r="AN24" s="1097" t="str">
        <f>IF(OR(C24="",L24="",Q24="",T24="",Y24="",AB24="",AE24=""),"",
IF(BQ24&lt;&gt;"",BQ24,IF(BS24&gt;0,BS24,
IF(ACTIVEBLOCK_N="Yes",ROUND(MIN(AH24*INCCOSTCAP,AK24*BLOCKBIDRATE),2),
ROUND(MIN(AH24*INCCOSTCAP,BJ24),2))
)))</f>
        <v/>
      </c>
      <c r="AO24" s="1098"/>
      <c r="AP24" s="1098"/>
      <c r="AQ24" s="1099"/>
      <c r="AR24"/>
      <c r="AS24"/>
      <c r="AT24"/>
      <c r="AU24"/>
      <c r="AV24"/>
      <c r="AW24"/>
      <c r="AY24" s="835" t="str">
        <f t="shared" ref="AY24" si="16">IFERROR(IF(OR(C24="",L24="",Q24="",T24="",Y24="",AB24="",AE24=""),"",ROUND(BR24/AH24,2)),0)</f>
        <v/>
      </c>
      <c r="AZ24" s="835" t="str">
        <f>IFERROR(AH24/N02S03F14/AK24,"")</f>
        <v/>
      </c>
      <c r="BA24" s="815" t="str">
        <f>IF(C24="","",INDEX(CMEMISC_N[Unit of Measure],MATCH(C24,CMEMISC_N[Proj Desc 1],0)))</f>
        <v/>
      </c>
      <c r="BB24" s="849" t="str">
        <f t="shared" ref="BB24" si="17">IF(AK24&lt;&gt;"","Missing!","")</f>
        <v/>
      </c>
      <c r="BC24" s="849" t="str">
        <f t="shared" ref="BC24" si="18">IF(AK24&lt;&gt;"","Missing!","")</f>
        <v/>
      </c>
      <c r="BD24" s="837" t="str">
        <f t="shared" ref="BD24" si="19">IF(OR(C24="",L24="",Q24="",T24="",Y24="",AB24="",AE24=""),"",ROUND(Q24,0))</f>
        <v/>
      </c>
      <c r="BE24" s="837" t="str">
        <f t="shared" ref="BE24" si="20">IF(OR(C24="",L24="",Q24="",T24="",Y24="",AB24="",AE24=""),"",ROUND(Y24,0))</f>
        <v/>
      </c>
      <c r="BF24" s="843" t="str">
        <f>IF(C24="","",IF(INDEX(CMEMISC_N[EUL],MATCH(C24,CMEMISC_N[Proj Desc 1],0))="","",INDEX(CMEMISC_N[EUL],MATCH(C24,CMEMISC_N[Proj Desc 1],0))))</f>
        <v/>
      </c>
      <c r="BG24" s="845" t="str">
        <f>IF(C24="","",IF(INDEX(CMEMISC_N[End Use Category],MATCH(C24,CMEMISC_N[Proj Desc 1],0))="","",INDEX(CMEMISC_N[End Use Category],MATCH(C24,CMEMISC_N[Proj Desc 1],0))))</f>
        <v/>
      </c>
      <c r="BH24" s="837" t="str">
        <f>IFERROR(IF(OR(C24="",L24="",Q24="",T24="",Y24="",AB24="",AE24=""),"",ROUND(AK24*INDEX(ENDUSEALL[Factor],MATCH(BG24,ENDUSEALL[End Use to Coincident Peak Demand Factors],0)),4)),"")</f>
        <v/>
      </c>
      <c r="BI24" s="874"/>
      <c r="BJ24" s="787" t="str">
        <f>IFERROR(ROUND(AK24*BK24,2),"")</f>
        <v/>
      </c>
      <c r="BK24" s="1067" t="str">
        <f>_xlfn.LET(_xlpm.ROWS,MATCH(BG24,ENDUSEALL[End Use to Coincident Peak Demand Factors],0),IFERROR(INDEX(IF(AND(ACTIVEBONUS_N = TRUE,INDEX(ENDUSEALL[Bonus Rate ($/kWh)],_xlpm.ROWS)&lt;&gt;""),ENDUSEALL[Bonus Rate ($/kWh)],ENDUSEALL[Rate ($/kWh)]),_xlpm.ROWS),""))</f>
        <v/>
      </c>
      <c r="BL24" s="829"/>
      <c r="BM24" s="829"/>
      <c r="BN24" s="1068" t="str">
        <f>_xlfn.LET(_xlpm.BONUS_RATE,INDEX(ENDUSEALL[Bonus Rate ($/kWh)],MATCH(BG24,ENDUSEALL[End Use to Coincident Peak Demand Factors],0)),_xlpm.BASE_RATE,INDEX(ENDUSEALL[Rate ($/kWh)],MATCH(BG24,ENDUSEALL[End Use to Coincident Peak Demand Factors],0)),IFERROR(IF(OR(ACTIVEBONUS_N &lt;&gt; TRUE,ISNUMBER(AN24) = FALSE,BS24 &lt;&gt; ""),"",AN24-(AK24*_xlpm.BASE_RATE)),""))</f>
        <v/>
      </c>
      <c r="BO24" s="1070" t="str">
        <f>IF(OR(C24="",L24="",Q24="",T24="",Y24="",AB24="",AE24=""),"",IF(BQ24&lt;&gt;"",SPILLOVERNUMBER,INDEX(CMEMISC_N[Measure Number],MATCH(C24,CMEMISC_N[Proj Desc 1],0))))</f>
        <v/>
      </c>
      <c r="BP24" s="815" t="str">
        <f>IFERROR(
IF(BS24="",
IF(AND(ROUND(AN24/AH24,2)=INCCOSTCAP,BJ24/AH24&gt;INCCOSTCAP),
"100% Incremental Cost",
IF(BK24&lt;KWHRATEMIN,
"kWh Incentive Rate Min",
IF(BK24&gt;KWHRATEMAX,
"kWh Incentive Rate Cap",
IF(AN24=BN24,
"Bonus Incentive",
"kWh Incentive"
)))),""),
"")</f>
        <v/>
      </c>
      <c r="BQ24" s="815" t="str">
        <f ca="1">IFERROR(IF(EXPIRATION&lt;&gt;"",PROJSTATEXP,
IF(BS24&gt;0,"",
IF(BD24-BE24&lt;=0,MEASURESAVE,
IF(OR(N02S03F14="",N02S03F14="Select Rate Code",N02S03F14=0),MEASURERATE,
IF(AND(ISNUMBER(SEARCH("Others",C24)),OR(BF24="",BG24="")),MEASURESUBMIT,
IF(AH24&lt;=0,MEASUREINCR,
IF(PAYPROJ_N&lt;PAYBACKREQ,PROJECTSTATPAYBACK,
IF(CBPROJ_N&lt;CBREQ,PROJECTSTATCB,"")))))))),MEASURESUBMIT)</f>
        <v>Submit for Review</v>
      </c>
      <c r="BR24" s="787" t="str">
        <f>IFERROR(IF(OR(C24="",L24="",Q24="",T24="",Y24="",AB24="",AE24=""),"",
ROUND(((1+ELOSS)*((AK24*INDEX(ELECCB[NPV AEC $/kWh],MATCH(BF24,ELECCB[Year Number],1)))+(BH24*INDEX(ELECCB[NPV ACC $/kW],MATCH(BF24,ELECCB[Year Number],1))))),2)),0)</f>
        <v/>
      </c>
      <c r="BS24" s="853"/>
    </row>
    <row r="25" spans="1:71" ht="15.95" customHeight="1">
      <c r="B25" s="800"/>
      <c r="C25" s="1091"/>
      <c r="D25" s="1092"/>
      <c r="E25" s="1092"/>
      <c r="F25" s="1092"/>
      <c r="G25" s="1092"/>
      <c r="H25" s="1092"/>
      <c r="I25" s="1092"/>
      <c r="J25" s="1092"/>
      <c r="K25" s="1092"/>
      <c r="L25" s="1081"/>
      <c r="M25" s="1081"/>
      <c r="N25" s="1081"/>
      <c r="O25" s="1081"/>
      <c r="P25" s="1119"/>
      <c r="Q25" s="1117"/>
      <c r="R25" s="1078"/>
      <c r="S25" s="1078"/>
      <c r="T25" s="1081"/>
      <c r="U25" s="1081"/>
      <c r="V25" s="1081"/>
      <c r="W25" s="1081"/>
      <c r="X25" s="1119"/>
      <c r="Y25" s="1117"/>
      <c r="Z25" s="1078"/>
      <c r="AA25" s="1078"/>
      <c r="AB25" s="1093"/>
      <c r="AC25" s="1093"/>
      <c r="AD25" s="1094"/>
      <c r="AE25" s="1095"/>
      <c r="AF25" s="1096"/>
      <c r="AG25" s="1096"/>
      <c r="AH25" s="1105"/>
      <c r="AI25" s="1105"/>
      <c r="AJ25" s="1106"/>
      <c r="AK25" s="832"/>
      <c r="AL25" s="832"/>
      <c r="AM25" s="832"/>
      <c r="AN25" s="1100"/>
      <c r="AO25" s="1101"/>
      <c r="AP25" s="1101"/>
      <c r="AQ25" s="1102"/>
      <c r="AR25"/>
      <c r="AS25"/>
      <c r="AT25"/>
      <c r="AU25"/>
      <c r="AV25"/>
      <c r="AW25"/>
      <c r="AY25" s="836"/>
      <c r="AZ25" s="836"/>
      <c r="BA25" s="816"/>
      <c r="BB25" s="850"/>
      <c r="BC25" s="850"/>
      <c r="BD25" s="838"/>
      <c r="BE25" s="838"/>
      <c r="BF25" s="844"/>
      <c r="BG25" s="846"/>
      <c r="BH25" s="838"/>
      <c r="BI25" s="875"/>
      <c r="BJ25" s="788"/>
      <c r="BK25" s="787"/>
      <c r="BL25" s="830"/>
      <c r="BM25" s="830"/>
      <c r="BN25" s="1069"/>
      <c r="BO25" s="1071"/>
      <c r="BP25" s="816"/>
      <c r="BQ25" s="816"/>
      <c r="BR25" s="788"/>
      <c r="BS25" s="854"/>
    </row>
    <row r="26" spans="1:71" customFormat="1" ht="15.95" customHeight="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BD26" s="220"/>
      <c r="BE26" s="220"/>
      <c r="BH26" s="220"/>
      <c r="BJ26" s="220"/>
      <c r="BK26" s="220"/>
      <c r="BL26" s="220"/>
      <c r="BM26" s="220"/>
      <c r="BN26" s="220"/>
    </row>
    <row r="27" spans="1:71" customFormat="1" ht="15.95" hidden="1" customHeight="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BD27" s="220"/>
      <c r="BE27" s="220"/>
      <c r="BH27" s="220"/>
      <c r="BJ27" s="220"/>
      <c r="BK27" s="220"/>
      <c r="BL27" s="220"/>
      <c r="BM27" s="220"/>
      <c r="BN27" s="220"/>
    </row>
    <row r="28" spans="1:71" customFormat="1" ht="15.95" hidden="1" customHeight="1"/>
    <row r="29" spans="1:71" customFormat="1" ht="15.95" hidden="1" customHeight="1"/>
    <row r="30" spans="1:71" ht="15.75" hidden="1" customHeight="1">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Y30"/>
      <c r="AZ30"/>
      <c r="BA30"/>
      <c r="BD30"/>
      <c r="BE30"/>
      <c r="BF30"/>
      <c r="BG30"/>
      <c r="BH30"/>
      <c r="BI30"/>
      <c r="BJ30"/>
      <c r="BK30"/>
      <c r="BL30"/>
      <c r="BM30"/>
      <c r="BN30"/>
      <c r="BO30"/>
      <c r="BP30"/>
      <c r="BQ30"/>
      <c r="BR30"/>
    </row>
    <row r="31" spans="1:71" ht="15.75" hidden="1" customHeight="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Y31"/>
      <c r="AZ31"/>
      <c r="BA31"/>
      <c r="BD31"/>
      <c r="BE31"/>
      <c r="BF31"/>
      <c r="BG31"/>
      <c r="BH31"/>
      <c r="BI31"/>
      <c r="BJ31"/>
      <c r="BK31"/>
      <c r="BL31"/>
      <c r="BM31"/>
      <c r="BN31"/>
      <c r="BO31"/>
      <c r="BP31"/>
      <c r="BQ31"/>
      <c r="BR31"/>
    </row>
    <row r="32" spans="1:71" customFormat="1" ht="15.95" hidden="1" customHeight="1">
      <c r="BD32" s="220"/>
      <c r="BE32" s="220"/>
      <c r="BH32" s="220"/>
      <c r="BJ32" s="220"/>
      <c r="BK32" s="220"/>
      <c r="BL32" s="220"/>
      <c r="BM32" s="220"/>
      <c r="BN32" s="220"/>
    </row>
    <row r="33" spans="8:60" customFormat="1" ht="15.95" hidden="1" customHeight="1">
      <c r="H33" s="21"/>
      <c r="I33" s="21"/>
      <c r="J33" s="21"/>
      <c r="K33" s="21"/>
      <c r="O33" s="21"/>
      <c r="P33" s="21"/>
      <c r="Q33" s="21"/>
      <c r="R33" s="21"/>
      <c r="BD33" s="220"/>
      <c r="BE33" s="220"/>
      <c r="BH33" s="220"/>
    </row>
    <row r="34" spans="8:60" customFormat="1" ht="15.95" hidden="1" customHeight="1">
      <c r="H34" s="21"/>
      <c r="I34" s="21"/>
      <c r="J34" s="21"/>
      <c r="K34" s="21"/>
      <c r="O34" s="21"/>
      <c r="P34" s="21"/>
      <c r="Q34" s="21"/>
      <c r="R34" s="21"/>
      <c r="BD34" s="220"/>
      <c r="BE34" s="220"/>
      <c r="BH34" s="220"/>
    </row>
    <row r="35" spans="8:60" customFormat="1" ht="15.95" hidden="1" customHeight="1">
      <c r="H35" s="21"/>
      <c r="I35" s="21"/>
      <c r="J35" s="21"/>
      <c r="K35" s="21"/>
      <c r="O35" s="21"/>
      <c r="P35" s="21"/>
      <c r="Q35" s="21"/>
      <c r="R35" s="21"/>
      <c r="BD35" s="220"/>
      <c r="BE35" s="220"/>
      <c r="BH35" s="220"/>
    </row>
    <row r="36" spans="8:60" customFormat="1" ht="15.95" hidden="1" customHeight="1">
      <c r="H36" s="21"/>
      <c r="I36" s="21"/>
      <c r="J36" s="21"/>
      <c r="K36" s="21"/>
      <c r="O36" s="21"/>
      <c r="P36" s="21"/>
      <c r="Q36" s="21"/>
      <c r="R36" s="21"/>
      <c r="BD36" s="220"/>
      <c r="BE36" s="220"/>
      <c r="BH36" s="220"/>
    </row>
    <row r="37" spans="8:60" customFormat="1" ht="15.95" hidden="1" customHeight="1">
      <c r="BD37" s="220"/>
      <c r="BE37" s="220"/>
      <c r="BH37" s="220"/>
    </row>
    <row r="38" spans="8:60" customFormat="1" ht="15.95" hidden="1" customHeight="1">
      <c r="J38" s="21"/>
      <c r="K38" s="21"/>
      <c r="L38" s="21"/>
      <c r="M38" s="21"/>
      <c r="R38" s="21"/>
      <c r="S38" s="21"/>
      <c r="T38" s="21"/>
      <c r="U38" s="21"/>
      <c r="BD38" s="220"/>
      <c r="BE38" s="220"/>
      <c r="BH38" s="220"/>
    </row>
    <row r="39" spans="8:60" customFormat="1" ht="15.95" hidden="1" customHeight="1">
      <c r="J39" s="21"/>
      <c r="K39" s="21"/>
      <c r="L39" s="21"/>
      <c r="M39" s="21"/>
      <c r="R39" s="21"/>
      <c r="S39" s="21"/>
      <c r="T39" s="21"/>
      <c r="U39" s="21"/>
      <c r="BD39" s="220"/>
      <c r="BE39" s="220"/>
      <c r="BH39" s="220"/>
    </row>
    <row r="40" spans="8:60" customFormat="1" ht="15.95" hidden="1" customHeight="1">
      <c r="J40" s="21"/>
      <c r="K40" s="21"/>
      <c r="L40" s="21"/>
      <c r="M40" s="21"/>
      <c r="R40" s="21"/>
      <c r="S40" s="21"/>
      <c r="T40" s="21"/>
      <c r="U40" s="21"/>
      <c r="BD40" s="220"/>
      <c r="BE40" s="220"/>
      <c r="BH40" s="220"/>
    </row>
    <row r="41" spans="8:60" customFormat="1" ht="15.95" hidden="1" customHeight="1">
      <c r="J41" s="21"/>
      <c r="K41" s="21"/>
      <c r="L41" s="21"/>
      <c r="M41" s="21"/>
      <c r="R41" s="21"/>
      <c r="S41" s="21"/>
      <c r="T41" s="21"/>
      <c r="U41" s="21"/>
      <c r="BD41" s="220"/>
      <c r="BE41" s="220"/>
      <c r="BH41" s="220"/>
    </row>
    <row r="42" spans="8:60" customFormat="1" ht="15.95" hidden="1" customHeight="1">
      <c r="J42" s="21"/>
      <c r="K42" s="21"/>
      <c r="L42" s="21"/>
      <c r="M42" s="21"/>
      <c r="R42" s="21"/>
      <c r="S42" s="21"/>
      <c r="T42" s="21"/>
      <c r="U42" s="21"/>
      <c r="BD42" s="220"/>
      <c r="BE42" s="220"/>
      <c r="BH42" s="220"/>
    </row>
    <row r="43" spans="8:60" customFormat="1" ht="15.95" hidden="1" customHeight="1">
      <c r="J43" s="21"/>
      <c r="K43" s="21"/>
      <c r="L43" s="21"/>
      <c r="M43" s="21"/>
      <c r="R43" s="21"/>
      <c r="S43" s="21"/>
      <c r="T43" s="21"/>
      <c r="U43" s="21"/>
      <c r="BD43" s="220"/>
      <c r="BE43" s="220"/>
      <c r="BH43" s="220"/>
    </row>
    <row r="44" spans="8:60" customFormat="1" ht="15.95" hidden="1" customHeight="1">
      <c r="J44" s="21"/>
      <c r="K44" s="21"/>
      <c r="L44" s="21"/>
      <c r="M44" s="21"/>
      <c r="R44" s="21"/>
      <c r="S44" s="21"/>
      <c r="T44" s="21"/>
      <c r="U44" s="21"/>
      <c r="BD44" s="220"/>
      <c r="BE44" s="220"/>
      <c r="BH44" s="220"/>
    </row>
    <row r="45" spans="8:60" customFormat="1" ht="15.95" hidden="1" customHeight="1">
      <c r="J45" s="21"/>
      <c r="K45" s="21"/>
      <c r="L45" s="21"/>
      <c r="M45" s="21"/>
      <c r="R45" s="21"/>
      <c r="S45" s="21"/>
      <c r="T45" s="21"/>
      <c r="U45" s="21"/>
      <c r="BD45" s="220"/>
      <c r="BE45" s="220"/>
      <c r="BH45" s="220"/>
    </row>
    <row r="46" spans="8:60" customFormat="1" ht="15.95" hidden="1" customHeight="1">
      <c r="J46" s="21"/>
      <c r="K46" s="21"/>
      <c r="L46" s="21"/>
      <c r="M46" s="21"/>
      <c r="R46" s="21"/>
      <c r="S46" s="21"/>
      <c r="T46" s="21"/>
      <c r="U46" s="21"/>
      <c r="BD46" s="220"/>
      <c r="BE46" s="220"/>
      <c r="BH46" s="220"/>
    </row>
    <row r="47" spans="8:60" customFormat="1" ht="15.95" hidden="1" customHeight="1">
      <c r="J47" s="21"/>
      <c r="K47" s="21"/>
      <c r="L47" s="21"/>
      <c r="M47" s="21"/>
      <c r="R47" s="21"/>
      <c r="S47" s="21"/>
      <c r="T47" s="21"/>
      <c r="U47" s="21"/>
      <c r="BD47" s="220"/>
      <c r="BE47" s="220"/>
      <c r="BH47" s="220"/>
    </row>
    <row r="48" spans="8:60" ht="15.95" hidden="1" customHeight="1">
      <c r="AZ48" s="105"/>
      <c r="BA48" s="106"/>
      <c r="BD48" s="285"/>
      <c r="BE48" s="285"/>
      <c r="BF48" s="106"/>
      <c r="BH48" s="221"/>
    </row>
    <row r="49" spans="52:60" ht="15.95" hidden="1" customHeight="1">
      <c r="AZ49" s="105"/>
      <c r="BA49" s="106"/>
      <c r="BD49" s="285"/>
      <c r="BE49" s="285"/>
      <c r="BF49" s="106"/>
      <c r="BH49" s="221"/>
    </row>
    <row r="50" spans="52:60" ht="15.95" hidden="1" customHeight="1">
      <c r="AZ50" s="105"/>
      <c r="BA50" s="106"/>
      <c r="BD50" s="285"/>
      <c r="BE50" s="285"/>
      <c r="BF50" s="106"/>
      <c r="BH50" s="221"/>
    </row>
    <row r="51" spans="52:60" ht="15.95" hidden="1" customHeight="1">
      <c r="AZ51" s="105"/>
      <c r="BA51" s="106"/>
      <c r="BD51" s="285"/>
      <c r="BE51" s="285"/>
      <c r="BF51" s="106"/>
      <c r="BH51" s="221"/>
    </row>
    <row r="52" spans="52:60" ht="15.95" hidden="1" customHeight="1">
      <c r="AZ52" s="105"/>
      <c r="BA52" s="106"/>
      <c r="BD52" s="285"/>
      <c r="BE52" s="285"/>
      <c r="BF52" s="106"/>
      <c r="BH52" s="221"/>
    </row>
    <row r="53" spans="52:60" ht="15.95" hidden="1" customHeight="1">
      <c r="AZ53" s="105"/>
      <c r="BA53" s="106"/>
      <c r="BD53" s="285"/>
      <c r="BE53" s="285"/>
      <c r="BF53" s="106"/>
      <c r="BH53" s="221"/>
    </row>
    <row r="54" spans="52:60" ht="15.95" hidden="1" customHeight="1">
      <c r="AZ54" s="105"/>
      <c r="BA54" s="106"/>
      <c r="BD54" s="285"/>
      <c r="BE54" s="285"/>
      <c r="BF54" s="106"/>
      <c r="BH54" s="221"/>
    </row>
    <row r="55" spans="52:60" ht="15.95" hidden="1" customHeight="1">
      <c r="AZ55" s="105"/>
      <c r="BA55" s="106"/>
      <c r="BD55" s="285"/>
      <c r="BE55" s="285"/>
      <c r="BF55" s="106"/>
      <c r="BH55" s="221"/>
    </row>
    <row r="56" spans="52:60" ht="15.95" hidden="1" customHeight="1">
      <c r="AZ56" s="105"/>
      <c r="BA56" s="106"/>
      <c r="BD56" s="285"/>
      <c r="BE56" s="285"/>
      <c r="BF56" s="106"/>
      <c r="BH56" s="221"/>
    </row>
    <row r="57" spans="52:60" ht="15.95" hidden="1" customHeight="1">
      <c r="AZ57" s="105"/>
      <c r="BA57" s="106"/>
      <c r="BD57" s="285"/>
      <c r="BE57" s="285"/>
      <c r="BF57" s="106"/>
      <c r="BH57" s="221"/>
    </row>
    <row r="58" spans="52:60" ht="15.95" hidden="1" customHeight="1">
      <c r="AZ58" s="105"/>
      <c r="BA58" s="106"/>
      <c r="BD58" s="285"/>
      <c r="BE58" s="285"/>
      <c r="BF58" s="106"/>
      <c r="BH58" s="221"/>
    </row>
    <row r="59" spans="52:60" ht="15.95" hidden="1" customHeight="1">
      <c r="AZ59" s="105"/>
      <c r="BA59" s="106"/>
      <c r="BD59" s="285"/>
      <c r="BE59" s="285"/>
      <c r="BF59" s="106"/>
      <c r="BH59" s="221"/>
    </row>
    <row r="60" spans="52:60" ht="15.95" hidden="1" customHeight="1">
      <c r="AZ60" s="105"/>
      <c r="BA60" s="106"/>
      <c r="BD60" s="285"/>
      <c r="BE60" s="285"/>
      <c r="BF60" s="106"/>
      <c r="BH60" s="221"/>
    </row>
    <row r="61" spans="52:60" ht="15.95" hidden="1" customHeight="1">
      <c r="AZ61" s="105"/>
      <c r="BA61" s="106"/>
      <c r="BD61" s="285"/>
      <c r="BE61" s="285"/>
      <c r="BF61" s="106"/>
      <c r="BH61" s="221"/>
    </row>
    <row r="62" spans="52:60" ht="15.95" hidden="1" customHeight="1">
      <c r="AZ62" s="105"/>
      <c r="BA62" s="106"/>
      <c r="BD62" s="285"/>
      <c r="BE62" s="285"/>
      <c r="BF62" s="106"/>
      <c r="BH62" s="221"/>
    </row>
    <row r="63" spans="52:60" ht="15.95" hidden="1" customHeight="1">
      <c r="AZ63" s="105"/>
      <c r="BA63" s="106"/>
      <c r="BD63" s="285"/>
      <c r="BE63" s="285"/>
      <c r="BF63" s="106"/>
      <c r="BH63" s="221"/>
    </row>
    <row r="64" spans="52:60" ht="15.95" hidden="1" customHeight="1">
      <c r="AZ64" s="105"/>
      <c r="BA64" s="106"/>
      <c r="BD64" s="285"/>
      <c r="BE64" s="285"/>
      <c r="BF64" s="106"/>
      <c r="BH64" s="221"/>
    </row>
    <row r="65" spans="52:60" ht="15.95" hidden="1" customHeight="1">
      <c r="AZ65" s="105"/>
      <c r="BA65" s="106"/>
      <c r="BD65" s="285"/>
      <c r="BE65" s="285"/>
      <c r="BF65" s="106"/>
      <c r="BH65" s="221"/>
    </row>
    <row r="66" spans="52:60" ht="15.95" hidden="1" customHeight="1">
      <c r="AZ66" s="105"/>
      <c r="BA66" s="106"/>
      <c r="BD66" s="285"/>
      <c r="BE66" s="285"/>
      <c r="BF66" s="106"/>
      <c r="BH66" s="221"/>
    </row>
    <row r="67" spans="52:60" ht="15.95" hidden="1" customHeight="1">
      <c r="AZ67" s="105"/>
      <c r="BA67" s="106"/>
      <c r="BD67" s="285"/>
      <c r="BE67" s="285"/>
      <c r="BF67" s="106"/>
      <c r="BH67" s="221"/>
    </row>
    <row r="68" spans="52:60" ht="15.95" hidden="1" customHeight="1">
      <c r="AZ68" s="105"/>
      <c r="BA68" s="106"/>
      <c r="BD68" s="285"/>
      <c r="BE68" s="285"/>
      <c r="BF68" s="106"/>
      <c r="BH68" s="221"/>
    </row>
    <row r="69" spans="52:60" ht="15.95" hidden="1" customHeight="1">
      <c r="AZ69" s="105"/>
      <c r="BA69" s="106"/>
      <c r="BD69" s="285"/>
      <c r="BE69" s="285"/>
      <c r="BF69" s="106"/>
      <c r="BH69" s="221"/>
    </row>
    <row r="70" spans="52:60" ht="15.95" hidden="1" customHeight="1">
      <c r="AZ70" s="105"/>
      <c r="BA70" s="106"/>
      <c r="BD70" s="285"/>
      <c r="BE70" s="285"/>
      <c r="BF70" s="106"/>
      <c r="BH70" s="221"/>
    </row>
    <row r="71" spans="52:60" ht="15.95" hidden="1" customHeight="1">
      <c r="AZ71" s="105"/>
      <c r="BA71" s="106"/>
      <c r="BD71" s="285"/>
      <c r="BE71" s="285"/>
      <c r="BF71" s="106"/>
      <c r="BH71" s="221"/>
    </row>
    <row r="72" spans="52:60" ht="15.95" hidden="1" customHeight="1">
      <c r="AZ72" s="105"/>
      <c r="BA72" s="106"/>
      <c r="BD72" s="285"/>
      <c r="BE72" s="285"/>
      <c r="BF72" s="106"/>
      <c r="BH72" s="221"/>
    </row>
    <row r="73" spans="52:60" ht="15.95" hidden="1" customHeight="1">
      <c r="AZ73" s="105"/>
      <c r="BA73" s="106"/>
      <c r="BD73" s="285"/>
      <c r="BE73" s="285"/>
      <c r="BF73" s="106"/>
      <c r="BH73" s="221"/>
    </row>
    <row r="74" spans="52:60" ht="15.95" hidden="1" customHeight="1">
      <c r="AZ74" s="105"/>
      <c r="BA74" s="106"/>
      <c r="BD74" s="285"/>
      <c r="BE74" s="285"/>
      <c r="BF74" s="106"/>
      <c r="BH74" s="221"/>
    </row>
    <row r="75" spans="52:60" ht="15.95" hidden="1" customHeight="1">
      <c r="AZ75" s="105"/>
      <c r="BA75" s="106"/>
      <c r="BD75" s="285"/>
      <c r="BE75" s="285"/>
      <c r="BF75" s="106"/>
      <c r="BH75" s="221"/>
    </row>
    <row r="76" spans="52:60" ht="15.95" hidden="1" customHeight="1">
      <c r="AZ76" s="105"/>
      <c r="BA76" s="106"/>
      <c r="BD76" s="285"/>
      <c r="BE76" s="285"/>
      <c r="BF76" s="106"/>
      <c r="BH76" s="221"/>
    </row>
    <row r="77" spans="52:60" ht="15.95" hidden="1" customHeight="1">
      <c r="AZ77" s="105"/>
      <c r="BA77" s="106"/>
      <c r="BD77" s="285"/>
      <c r="BE77" s="285"/>
      <c r="BF77" s="106"/>
      <c r="BH77" s="221"/>
    </row>
    <row r="78" spans="52:60" ht="15.95" hidden="1" customHeight="1">
      <c r="AZ78" s="105"/>
      <c r="BA78" s="106"/>
      <c r="BD78" s="285"/>
      <c r="BE78" s="285"/>
      <c r="BF78" s="106"/>
      <c r="BH78" s="221"/>
    </row>
    <row r="79" spans="52:60" ht="15.95" hidden="1" customHeight="1">
      <c r="AZ79" s="105"/>
      <c r="BA79" s="106"/>
      <c r="BD79" s="285"/>
      <c r="BE79" s="285"/>
      <c r="BF79" s="106"/>
      <c r="BH79" s="221"/>
    </row>
    <row r="80" spans="52:60" ht="15.95" hidden="1" customHeight="1">
      <c r="AZ80" s="105"/>
      <c r="BA80" s="106"/>
      <c r="BD80" s="285"/>
      <c r="BE80" s="285"/>
      <c r="BF80" s="106"/>
      <c r="BH80" s="221"/>
    </row>
    <row r="81" spans="52:60" ht="15.95" hidden="1" customHeight="1">
      <c r="AZ81" s="105"/>
      <c r="BA81" s="106"/>
      <c r="BD81" s="285"/>
      <c r="BE81" s="285"/>
      <c r="BF81" s="106"/>
      <c r="BH81" s="221"/>
    </row>
    <row r="82" spans="52:60" ht="15.95" hidden="1" customHeight="1">
      <c r="AZ82" s="105"/>
      <c r="BA82" s="106"/>
      <c r="BD82" s="285"/>
      <c r="BE82" s="285"/>
      <c r="BF82" s="106"/>
      <c r="BH82" s="221"/>
    </row>
    <row r="83" spans="52:60" ht="15.95" hidden="1" customHeight="1">
      <c r="AZ83" s="105"/>
      <c r="BA83" s="106"/>
      <c r="BD83" s="285"/>
      <c r="BE83" s="285"/>
      <c r="BF83" s="106"/>
      <c r="BH83" s="221"/>
    </row>
    <row r="84" spans="52:60" ht="15.95" hidden="1" customHeight="1">
      <c r="AZ84" s="105"/>
      <c r="BA84" s="106"/>
      <c r="BD84" s="285"/>
      <c r="BE84" s="285"/>
      <c r="BF84" s="106"/>
      <c r="BH84" s="221"/>
    </row>
    <row r="85" spans="52:60" ht="15.95" hidden="1" customHeight="1">
      <c r="AZ85" s="105"/>
      <c r="BA85" s="106"/>
      <c r="BD85" s="285"/>
      <c r="BE85" s="285"/>
      <c r="BF85" s="106"/>
      <c r="BH85" s="221"/>
    </row>
    <row r="86" spans="52:60" ht="15.95" hidden="1" customHeight="1">
      <c r="AZ86" s="105"/>
      <c r="BA86" s="106"/>
      <c r="BD86" s="285"/>
      <c r="BE86" s="285"/>
      <c r="BF86" s="106"/>
      <c r="BH86" s="221"/>
    </row>
    <row r="87" spans="52:60" ht="15.95" hidden="1" customHeight="1">
      <c r="AZ87" s="105"/>
      <c r="BA87" s="106"/>
      <c r="BD87" s="285"/>
      <c r="BE87" s="285"/>
      <c r="BF87" s="106"/>
      <c r="BH87" s="221"/>
    </row>
    <row r="88" spans="52:60" ht="15.95" hidden="1" customHeight="1">
      <c r="AZ88" s="105"/>
      <c r="BA88" s="106"/>
      <c r="BD88" s="285"/>
      <c r="BE88" s="285"/>
      <c r="BF88" s="106"/>
      <c r="BH88" s="221"/>
    </row>
    <row r="89" spans="52:60" ht="15.95" hidden="1" customHeight="1">
      <c r="AZ89" s="105"/>
      <c r="BA89" s="106"/>
      <c r="BD89" s="285"/>
      <c r="BE89" s="285"/>
      <c r="BF89" s="106"/>
      <c r="BH89" s="221"/>
    </row>
    <row r="90" spans="52:60" ht="15.95" hidden="1" customHeight="1">
      <c r="AZ90" s="105"/>
      <c r="BA90" s="106"/>
      <c r="BD90" s="285"/>
      <c r="BE90" s="285"/>
      <c r="BF90" s="106"/>
      <c r="BH90" s="221"/>
    </row>
    <row r="91" spans="52:60" ht="15.95" hidden="1" customHeight="1">
      <c r="AZ91" s="105"/>
      <c r="BA91" s="106"/>
      <c r="BD91" s="285"/>
      <c r="BE91" s="285"/>
      <c r="BF91" s="106"/>
      <c r="BH91" s="221"/>
    </row>
    <row r="92" spans="52:60" ht="15.95" hidden="1" customHeight="1">
      <c r="AZ92" s="105"/>
      <c r="BA92" s="106"/>
      <c r="BD92" s="285"/>
      <c r="BE92" s="285"/>
      <c r="BF92" s="106"/>
      <c r="BH92" s="221"/>
    </row>
    <row r="93" spans="52:60" ht="15.95" hidden="1" customHeight="1">
      <c r="AZ93" s="105"/>
      <c r="BA93" s="106"/>
      <c r="BD93" s="285"/>
      <c r="BE93" s="285"/>
      <c r="BF93" s="106"/>
      <c r="BH93" s="221"/>
    </row>
    <row r="94" spans="52:60" ht="15.95" hidden="1" customHeight="1">
      <c r="AZ94" s="105"/>
      <c r="BA94" s="106"/>
      <c r="BD94" s="285"/>
      <c r="BE94" s="285"/>
      <c r="BF94" s="106"/>
      <c r="BH94" s="221"/>
    </row>
    <row r="95" spans="52:60" ht="15.95" hidden="1" customHeight="1">
      <c r="AZ95" s="105"/>
      <c r="BA95" s="106"/>
      <c r="BD95" s="285"/>
      <c r="BE95" s="285"/>
      <c r="BF95" s="106"/>
      <c r="BH95" s="221"/>
    </row>
    <row r="96" spans="52:60" ht="15.95" hidden="1" customHeight="1">
      <c r="AZ96" s="105"/>
      <c r="BA96" s="106"/>
      <c r="BD96" s="285"/>
      <c r="BE96" s="285"/>
      <c r="BF96" s="106"/>
      <c r="BH96" s="221"/>
    </row>
    <row r="97" spans="52:60" ht="15.95" hidden="1" customHeight="1">
      <c r="AZ97" s="105"/>
      <c r="BA97" s="106"/>
      <c r="BD97" s="285"/>
      <c r="BE97" s="285"/>
      <c r="BF97" s="106"/>
      <c r="BH97" s="221"/>
    </row>
    <row r="98" spans="52:60" ht="15.95" hidden="1" customHeight="1">
      <c r="AZ98" s="105"/>
      <c r="BA98" s="106"/>
      <c r="BD98" s="285"/>
      <c r="BE98" s="285"/>
      <c r="BF98" s="106"/>
      <c r="BH98" s="221"/>
    </row>
    <row r="99" spans="52:60" ht="15.95" hidden="1" customHeight="1">
      <c r="AZ99" s="105"/>
      <c r="BA99" s="106"/>
      <c r="BD99" s="285"/>
      <c r="BE99" s="285"/>
      <c r="BF99" s="106"/>
      <c r="BH99" s="221"/>
    </row>
    <row r="100" spans="52:60" ht="15.95" hidden="1" customHeight="1">
      <c r="AZ100" s="105"/>
      <c r="BA100" s="106"/>
      <c r="BD100" s="285"/>
      <c r="BE100" s="285"/>
      <c r="BF100" s="106"/>
      <c r="BH100" s="221"/>
    </row>
    <row r="101" spans="52:60" ht="15.95" hidden="1" customHeight="1">
      <c r="AZ101" s="105"/>
      <c r="BA101" s="106"/>
      <c r="BD101" s="285"/>
      <c r="BE101" s="285"/>
      <c r="BF101" s="106"/>
      <c r="BH101" s="221"/>
    </row>
    <row r="102" spans="52:60" ht="15.95" hidden="1" customHeight="1">
      <c r="AZ102" s="105"/>
      <c r="BA102" s="106"/>
      <c r="BD102" s="285"/>
      <c r="BE102" s="285"/>
      <c r="BF102" s="106"/>
      <c r="BH102" s="221"/>
    </row>
    <row r="103" spans="52:60" ht="15.95" hidden="1" customHeight="1">
      <c r="AZ103" s="105"/>
      <c r="BA103" s="106"/>
      <c r="BD103" s="285"/>
      <c r="BE103" s="285"/>
      <c r="BF103" s="106"/>
      <c r="BH103" s="221"/>
    </row>
    <row r="104" spans="52:60" ht="15.95" hidden="1" customHeight="1">
      <c r="AZ104" s="105"/>
      <c r="BA104" s="106"/>
      <c r="BD104" s="285"/>
      <c r="BE104" s="285"/>
      <c r="BF104" s="106"/>
      <c r="BH104" s="221"/>
    </row>
    <row r="105" spans="52:60" ht="15.95" hidden="1" customHeight="1">
      <c r="AZ105" s="105"/>
      <c r="BA105" s="106"/>
      <c r="BD105" s="285"/>
      <c r="BE105" s="285"/>
      <c r="BF105" s="106"/>
      <c r="BH105" s="221"/>
    </row>
    <row r="106" spans="52:60" ht="15.95" hidden="1" customHeight="1">
      <c r="AZ106" s="105"/>
      <c r="BA106" s="106"/>
      <c r="BD106" s="285"/>
      <c r="BE106" s="285"/>
      <c r="BF106" s="106"/>
      <c r="BH106" s="221"/>
    </row>
    <row r="107" spans="52:60" ht="15.95" hidden="1" customHeight="1">
      <c r="AZ107" s="105"/>
      <c r="BA107" s="106"/>
      <c r="BD107" s="285"/>
      <c r="BE107" s="285"/>
      <c r="BF107" s="106"/>
      <c r="BH107" s="221"/>
    </row>
    <row r="108" spans="52:60" ht="15.95" hidden="1" customHeight="1">
      <c r="AZ108" s="105"/>
      <c r="BA108" s="106"/>
      <c r="BD108" s="285"/>
      <c r="BE108" s="285"/>
      <c r="BF108" s="106"/>
      <c r="BH108" s="221"/>
    </row>
    <row r="109" spans="52:60" ht="15.95" hidden="1" customHeight="1">
      <c r="AZ109" s="105"/>
      <c r="BA109" s="106"/>
      <c r="BD109" s="285"/>
      <c r="BE109" s="285"/>
      <c r="BF109" s="106"/>
      <c r="BH109" s="221"/>
    </row>
    <row r="110" spans="52:60" ht="15.95" hidden="1" customHeight="1">
      <c r="AZ110" s="105"/>
      <c r="BA110" s="106"/>
      <c r="BD110" s="285"/>
      <c r="BE110" s="285"/>
      <c r="BF110" s="106"/>
      <c r="BH110" s="221"/>
    </row>
    <row r="111" spans="52:60" ht="15.95" hidden="1" customHeight="1">
      <c r="AZ111" s="105"/>
      <c r="BA111" s="106"/>
      <c r="BD111" s="285"/>
      <c r="BE111" s="285"/>
      <c r="BF111" s="106"/>
      <c r="BH111" s="221"/>
    </row>
    <row r="112" spans="52:60" ht="15.95" hidden="1" customHeight="1">
      <c r="AZ112" s="105"/>
      <c r="BA112" s="106"/>
      <c r="BD112" s="285"/>
      <c r="BE112" s="285"/>
      <c r="BF112" s="106"/>
      <c r="BH112" s="221"/>
    </row>
    <row r="113" spans="52:60" ht="15.95" hidden="1" customHeight="1">
      <c r="AZ113" s="105"/>
      <c r="BA113" s="106"/>
      <c r="BD113" s="285"/>
      <c r="BE113" s="285"/>
      <c r="BF113" s="106"/>
      <c r="BH113" s="221"/>
    </row>
    <row r="114" spans="52:60" ht="15.95" hidden="1" customHeight="1">
      <c r="AZ114" s="105"/>
      <c r="BA114" s="106"/>
      <c r="BD114" s="285"/>
      <c r="BE114" s="285"/>
      <c r="BF114" s="106"/>
      <c r="BH114" s="221"/>
    </row>
    <row r="115" spans="52:60" ht="15.95" hidden="1" customHeight="1">
      <c r="AZ115" s="105"/>
      <c r="BA115" s="106"/>
      <c r="BD115" s="285"/>
      <c r="BE115" s="285"/>
      <c r="BF115" s="106"/>
      <c r="BH115" s="221"/>
    </row>
    <row r="116" spans="52:60" ht="15.95" hidden="1" customHeight="1">
      <c r="AZ116" s="105"/>
      <c r="BA116" s="106"/>
      <c r="BD116" s="285"/>
      <c r="BE116" s="285"/>
      <c r="BF116" s="106"/>
      <c r="BH116" s="221"/>
    </row>
    <row r="117" spans="52:60" ht="15.95" hidden="1" customHeight="1">
      <c r="AZ117" s="105"/>
      <c r="BA117" s="106"/>
      <c r="BD117" s="285"/>
      <c r="BE117" s="285"/>
      <c r="BF117" s="106"/>
      <c r="BH117" s="221"/>
    </row>
    <row r="118" spans="52:60" ht="15.95" hidden="1" customHeight="1">
      <c r="AZ118" s="105"/>
      <c r="BA118" s="106"/>
      <c r="BD118" s="285"/>
      <c r="BE118" s="285"/>
      <c r="BF118" s="106"/>
      <c r="BH118" s="221"/>
    </row>
    <row r="119" spans="52:60" ht="15.95" hidden="1" customHeight="1">
      <c r="AZ119" s="105"/>
      <c r="BA119" s="106"/>
      <c r="BD119" s="285"/>
      <c r="BE119" s="285"/>
      <c r="BF119" s="106"/>
      <c r="BH119" s="221"/>
    </row>
    <row r="120" spans="52:60" ht="15.95" hidden="1" customHeight="1">
      <c r="AZ120" s="105"/>
      <c r="BA120" s="106"/>
      <c r="BD120" s="285"/>
      <c r="BE120" s="285"/>
      <c r="BF120" s="106"/>
      <c r="BH120" s="221"/>
    </row>
    <row r="121" spans="52:60" ht="15.95" hidden="1" customHeight="1">
      <c r="AZ121" s="105"/>
      <c r="BA121" s="106"/>
      <c r="BD121" s="285"/>
      <c r="BE121" s="285"/>
      <c r="BF121" s="106"/>
      <c r="BH121" s="221"/>
    </row>
    <row r="122" spans="52:60" ht="15.95" hidden="1" customHeight="1">
      <c r="AZ122" s="105"/>
      <c r="BA122" s="106"/>
      <c r="BD122" s="285"/>
      <c r="BE122" s="285"/>
      <c r="BF122" s="106"/>
      <c r="BH122" s="221"/>
    </row>
    <row r="123" spans="52:60" ht="15.95" hidden="1" customHeight="1">
      <c r="AZ123" s="105"/>
      <c r="BA123" s="106"/>
      <c r="BD123" s="285"/>
      <c r="BE123" s="285"/>
      <c r="BF123" s="106"/>
      <c r="BH123" s="221"/>
    </row>
    <row r="124" spans="52:60" ht="15.95" hidden="1" customHeight="1">
      <c r="AZ124" s="105"/>
      <c r="BA124" s="106"/>
      <c r="BD124" s="285"/>
      <c r="BE124" s="285"/>
      <c r="BF124" s="106"/>
      <c r="BH124" s="221"/>
    </row>
    <row r="125" spans="52:60" ht="15.95" hidden="1" customHeight="1">
      <c r="AZ125" s="105"/>
      <c r="BA125" s="106"/>
      <c r="BD125" s="285"/>
      <c r="BE125" s="285"/>
      <c r="BF125" s="106"/>
      <c r="BH125" s="221"/>
    </row>
    <row r="126" spans="52:60" ht="15.95" hidden="1" customHeight="1">
      <c r="AZ126" s="105"/>
      <c r="BA126" s="106"/>
      <c r="BD126" s="285"/>
      <c r="BE126" s="285"/>
      <c r="BF126" s="106"/>
      <c r="BH126" s="221"/>
    </row>
    <row r="127" spans="52:60" ht="15.95" hidden="1" customHeight="1">
      <c r="AZ127" s="105"/>
      <c r="BA127" s="106"/>
      <c r="BD127" s="285"/>
      <c r="BE127" s="285"/>
      <c r="BF127" s="106"/>
      <c r="BH127" s="221"/>
    </row>
    <row r="128" spans="52:60" ht="15.95" hidden="1" customHeight="1">
      <c r="AZ128" s="105"/>
      <c r="BA128" s="106"/>
      <c r="BD128" s="285"/>
      <c r="BE128" s="285"/>
      <c r="BF128" s="106"/>
      <c r="BH128" s="221"/>
    </row>
    <row r="129" spans="52:60" ht="15.95" hidden="1" customHeight="1">
      <c r="AZ129" s="105"/>
      <c r="BA129" s="106"/>
      <c r="BD129" s="285"/>
      <c r="BE129" s="285"/>
      <c r="BF129" s="106"/>
      <c r="BH129" s="221"/>
    </row>
    <row r="130" spans="52:60" ht="15.95" hidden="1" customHeight="1">
      <c r="AZ130" s="105"/>
      <c r="BA130" s="106"/>
      <c r="BD130" s="285"/>
      <c r="BE130" s="285"/>
      <c r="BF130" s="106"/>
      <c r="BH130" s="221"/>
    </row>
    <row r="131" spans="52:60" ht="15.95" hidden="1" customHeight="1">
      <c r="AZ131" s="105"/>
      <c r="BA131" s="106"/>
      <c r="BD131" s="285"/>
      <c r="BE131" s="285"/>
      <c r="BF131" s="106"/>
      <c r="BH131" s="221"/>
    </row>
    <row r="132" spans="52:60" ht="15.95" hidden="1" customHeight="1">
      <c r="AZ132" s="105"/>
      <c r="BA132" s="106"/>
      <c r="BD132" s="285"/>
      <c r="BE132" s="285"/>
      <c r="BF132" s="106"/>
      <c r="BH132" s="221"/>
    </row>
    <row r="133" spans="52:60" ht="15.95" hidden="1" customHeight="1">
      <c r="AZ133" s="105"/>
      <c r="BA133" s="106"/>
      <c r="BD133" s="285"/>
      <c r="BE133" s="285"/>
      <c r="BF133" s="106"/>
      <c r="BH133" s="221"/>
    </row>
    <row r="134" spans="52:60" ht="15.95" hidden="1" customHeight="1">
      <c r="AZ134" s="105"/>
      <c r="BA134" s="106"/>
      <c r="BD134" s="285"/>
      <c r="BE134" s="285"/>
      <c r="BF134" s="106"/>
      <c r="BH134" s="221"/>
    </row>
    <row r="135" spans="52:60" ht="15.95" hidden="1" customHeight="1">
      <c r="AZ135" s="105"/>
      <c r="BA135" s="106"/>
      <c r="BD135" s="285"/>
      <c r="BE135" s="285"/>
      <c r="BF135" s="106"/>
      <c r="BH135" s="221"/>
    </row>
    <row r="136" spans="52:60" ht="15.95" hidden="1" customHeight="1">
      <c r="AZ136" s="105"/>
      <c r="BA136" s="106"/>
      <c r="BD136" s="285"/>
      <c r="BE136" s="285"/>
      <c r="BF136" s="106"/>
      <c r="BH136" s="221"/>
    </row>
    <row r="137" spans="52:60" ht="15.95" hidden="1" customHeight="1">
      <c r="AZ137" s="105"/>
      <c r="BA137" s="106"/>
      <c r="BD137" s="285"/>
      <c r="BE137" s="285"/>
      <c r="BF137" s="106"/>
      <c r="BH137" s="221"/>
    </row>
    <row r="138" spans="52:60" ht="15.95" hidden="1" customHeight="1">
      <c r="AZ138" s="105"/>
      <c r="BA138" s="106"/>
      <c r="BD138" s="285"/>
      <c r="BE138" s="285"/>
      <c r="BF138" s="106"/>
      <c r="BH138" s="221"/>
    </row>
    <row r="139" spans="52:60" ht="15.95" hidden="1" customHeight="1">
      <c r="AZ139" s="105"/>
      <c r="BA139" s="106"/>
      <c r="BD139" s="285"/>
      <c r="BE139" s="285"/>
      <c r="BF139" s="106"/>
      <c r="BH139" s="221"/>
    </row>
    <row r="140" spans="52:60" ht="15.95" hidden="1" customHeight="1">
      <c r="AZ140" s="105"/>
      <c r="BA140" s="106"/>
      <c r="BD140" s="285"/>
      <c r="BE140" s="285"/>
      <c r="BF140" s="106"/>
      <c r="BH140" s="221"/>
    </row>
    <row r="141" spans="52:60" ht="15.95" hidden="1" customHeight="1">
      <c r="AZ141" s="105"/>
      <c r="BA141" s="106"/>
      <c r="BD141" s="285"/>
      <c r="BE141" s="285"/>
      <c r="BF141" s="106"/>
      <c r="BH141" s="221"/>
    </row>
    <row r="142" spans="52:60" ht="15.95" hidden="1" customHeight="1">
      <c r="AZ142" s="105"/>
      <c r="BA142" s="106"/>
      <c r="BD142" s="285"/>
      <c r="BE142" s="285"/>
      <c r="BF142" s="106"/>
      <c r="BH142" s="221"/>
    </row>
    <row r="143" spans="52:60" ht="15.95" hidden="1" customHeight="1">
      <c r="AZ143" s="105"/>
      <c r="BA143" s="106"/>
      <c r="BD143" s="285"/>
      <c r="BE143" s="285"/>
      <c r="BF143" s="106"/>
      <c r="BH143" s="221"/>
    </row>
    <row r="144" spans="52:60" ht="15.95" hidden="1" customHeight="1">
      <c r="AZ144" s="105"/>
      <c r="BA144" s="106"/>
      <c r="BD144" s="285"/>
      <c r="BE144" s="285"/>
      <c r="BF144" s="106"/>
      <c r="BH144" s="221"/>
    </row>
    <row r="145" spans="52:60" ht="15.95" hidden="1" customHeight="1">
      <c r="AZ145" s="105"/>
      <c r="BA145" s="106"/>
      <c r="BD145" s="285"/>
      <c r="BE145" s="285"/>
      <c r="BF145" s="106"/>
      <c r="BH145" s="221"/>
    </row>
    <row r="146" spans="52:60" ht="15.95" hidden="1" customHeight="1">
      <c r="AZ146" s="105"/>
      <c r="BA146" s="106"/>
      <c r="BD146" s="285"/>
      <c r="BE146" s="285"/>
      <c r="BF146" s="106"/>
      <c r="BH146" s="221"/>
    </row>
    <row r="147" spans="52:60" ht="15.95" hidden="1" customHeight="1">
      <c r="AZ147" s="105"/>
      <c r="BA147" s="106"/>
      <c r="BD147" s="285"/>
      <c r="BE147" s="285"/>
      <c r="BF147" s="106"/>
      <c r="BH147" s="221"/>
    </row>
    <row r="148" spans="52:60" ht="15.95" hidden="1" customHeight="1">
      <c r="AZ148" s="105"/>
      <c r="BA148" s="106"/>
      <c r="BD148" s="285"/>
      <c r="BE148" s="285"/>
      <c r="BF148" s="106"/>
      <c r="BH148" s="221"/>
    </row>
    <row r="149" spans="52:60" ht="15.95" hidden="1" customHeight="1">
      <c r="AZ149" s="105"/>
      <c r="BA149" s="106"/>
      <c r="BD149" s="285"/>
      <c r="BE149" s="285"/>
      <c r="BF149" s="106"/>
      <c r="BH149" s="221"/>
    </row>
    <row r="150" spans="52:60" ht="15.95" hidden="1" customHeight="1">
      <c r="AZ150" s="105"/>
      <c r="BA150" s="106"/>
      <c r="BD150" s="285"/>
      <c r="BE150" s="285"/>
      <c r="BF150" s="106"/>
      <c r="BH150" s="221"/>
    </row>
    <row r="151" spans="52:60" ht="15.95" hidden="1" customHeight="1">
      <c r="AZ151" s="105"/>
      <c r="BA151" s="106"/>
      <c r="BD151" s="285"/>
      <c r="BE151" s="285"/>
      <c r="BF151" s="106"/>
      <c r="BH151" s="221"/>
    </row>
    <row r="152" spans="52:60" ht="15.95" hidden="1" customHeight="1">
      <c r="AZ152" s="105"/>
      <c r="BA152" s="106"/>
      <c r="BD152" s="285"/>
      <c r="BE152" s="285"/>
      <c r="BF152" s="106"/>
      <c r="BH152" s="221"/>
    </row>
    <row r="153" spans="52:60" ht="15.95" hidden="1" customHeight="1">
      <c r="AZ153" s="105"/>
      <c r="BA153" s="106"/>
      <c r="BD153" s="285"/>
      <c r="BE153" s="285"/>
      <c r="BF153" s="106"/>
      <c r="BH153" s="221"/>
    </row>
    <row r="154" spans="52:60" ht="15.95" hidden="1" customHeight="1">
      <c r="AZ154" s="105"/>
      <c r="BA154" s="106"/>
      <c r="BD154" s="285"/>
      <c r="BE154" s="285"/>
      <c r="BF154" s="106"/>
      <c r="BH154" s="221"/>
    </row>
    <row r="155" spans="52:60" ht="15.95" hidden="1" customHeight="1">
      <c r="AZ155" s="105"/>
      <c r="BA155" s="106"/>
      <c r="BD155" s="285"/>
      <c r="BE155" s="285"/>
      <c r="BF155" s="106"/>
      <c r="BH155" s="221"/>
    </row>
    <row r="156" spans="52:60" ht="15.95" hidden="1" customHeight="1">
      <c r="AZ156" s="105"/>
      <c r="BA156" s="106"/>
      <c r="BD156" s="285"/>
      <c r="BE156" s="285"/>
      <c r="BF156" s="106"/>
      <c r="BH156" s="221"/>
    </row>
    <row r="157" spans="52:60" ht="15.95" hidden="1" customHeight="1">
      <c r="AZ157" s="105"/>
      <c r="BA157" s="106"/>
      <c r="BD157" s="285"/>
      <c r="BE157" s="285"/>
      <c r="BF157" s="106"/>
      <c r="BH157" s="221"/>
    </row>
    <row r="158" spans="52:60" ht="15.95" hidden="1" customHeight="1">
      <c r="AZ158" s="105"/>
      <c r="BA158" s="106"/>
      <c r="BD158" s="285"/>
      <c r="BE158" s="285"/>
      <c r="BF158" s="106"/>
      <c r="BH158" s="221"/>
    </row>
    <row r="159" spans="52:60" ht="15.95" hidden="1" customHeight="1">
      <c r="AZ159" s="105"/>
      <c r="BA159" s="106"/>
      <c r="BD159" s="285"/>
      <c r="BE159" s="285"/>
      <c r="BF159" s="106"/>
      <c r="BH159" s="221"/>
    </row>
    <row r="160" spans="52:60" ht="15.95" hidden="1" customHeight="1">
      <c r="AZ160" s="105"/>
      <c r="BA160" s="106"/>
      <c r="BD160" s="285"/>
      <c r="BE160" s="285"/>
      <c r="BF160" s="106"/>
      <c r="BH160" s="221"/>
    </row>
    <row r="161" spans="52:60" ht="15.95" hidden="1" customHeight="1">
      <c r="AZ161" s="105"/>
      <c r="BA161" s="106"/>
      <c r="BD161" s="285"/>
      <c r="BE161" s="285"/>
      <c r="BF161" s="106"/>
      <c r="BH161" s="221"/>
    </row>
    <row r="162" spans="52:60" ht="15.95" hidden="1" customHeight="1">
      <c r="AZ162" s="105"/>
      <c r="BA162" s="106"/>
      <c r="BD162" s="285"/>
      <c r="BE162" s="285"/>
      <c r="BF162" s="106"/>
      <c r="BH162" s="221"/>
    </row>
    <row r="163" spans="52:60" ht="15.95" hidden="1" customHeight="1">
      <c r="AZ163" s="105"/>
      <c r="BA163" s="106"/>
      <c r="BD163" s="285"/>
      <c r="BE163" s="285"/>
      <c r="BF163" s="106"/>
      <c r="BH163" s="221"/>
    </row>
    <row r="164" spans="52:60" ht="15.95" hidden="1" customHeight="1">
      <c r="AZ164" s="105"/>
      <c r="BA164" s="106"/>
      <c r="BD164" s="285"/>
      <c r="BE164" s="285"/>
      <c r="BF164" s="106"/>
      <c r="BH164" s="221"/>
    </row>
    <row r="165" spans="52:60" ht="15.95" hidden="1" customHeight="1">
      <c r="AZ165" s="105"/>
      <c r="BA165" s="106"/>
      <c r="BD165" s="285"/>
      <c r="BE165" s="285"/>
      <c r="BF165" s="106"/>
      <c r="BH165" s="221"/>
    </row>
    <row r="166" spans="52:60" ht="15.95" hidden="1" customHeight="1">
      <c r="AZ166" s="105"/>
      <c r="BA166" s="106"/>
      <c r="BD166" s="285"/>
      <c r="BE166" s="285"/>
      <c r="BF166" s="106"/>
      <c r="BH166" s="221"/>
    </row>
    <row r="167" spans="52:60" ht="15.95" hidden="1" customHeight="1">
      <c r="AZ167" s="105"/>
      <c r="BA167" s="106"/>
      <c r="BD167" s="285"/>
      <c r="BE167" s="285"/>
      <c r="BF167" s="106"/>
      <c r="BH167" s="221"/>
    </row>
    <row r="168" spans="52:60" ht="15.95" hidden="1" customHeight="1">
      <c r="AZ168" s="105"/>
      <c r="BA168" s="106"/>
      <c r="BD168" s="285"/>
      <c r="BE168" s="285"/>
      <c r="BF168" s="106"/>
      <c r="BH168" s="221"/>
    </row>
    <row r="169" spans="52:60" ht="15.95" hidden="1" customHeight="1">
      <c r="AZ169" s="105"/>
      <c r="BA169" s="106"/>
      <c r="BD169" s="285"/>
      <c r="BE169" s="285"/>
      <c r="BF169" s="106"/>
      <c r="BH169" s="221"/>
    </row>
    <row r="170" spans="52:60" ht="15.95" hidden="1" customHeight="1">
      <c r="AZ170" s="105"/>
      <c r="BA170" s="106"/>
      <c r="BD170" s="285"/>
      <c r="BE170" s="285"/>
      <c r="BF170" s="106"/>
      <c r="BH170" s="221"/>
    </row>
    <row r="171" spans="52:60" ht="15.95" hidden="1" customHeight="1">
      <c r="AZ171" s="105"/>
      <c r="BA171" s="106"/>
      <c r="BD171" s="285"/>
      <c r="BE171" s="285"/>
      <c r="BF171" s="106"/>
      <c r="BH171" s="221"/>
    </row>
    <row r="172" spans="52:60" ht="15.95" hidden="1" customHeight="1">
      <c r="AZ172" s="105"/>
      <c r="BA172" s="106"/>
      <c r="BD172" s="285"/>
      <c r="BE172" s="285"/>
      <c r="BF172" s="106"/>
      <c r="BH172" s="221"/>
    </row>
    <row r="173" spans="52:60" ht="15.95" hidden="1" customHeight="1">
      <c r="AZ173" s="105"/>
      <c r="BA173" s="106"/>
      <c r="BD173" s="285"/>
      <c r="BE173" s="285"/>
      <c r="BF173" s="106"/>
      <c r="BH173" s="221"/>
    </row>
    <row r="174" spans="52:60" ht="15.95" hidden="1" customHeight="1">
      <c r="AZ174" s="105"/>
      <c r="BA174" s="106"/>
      <c r="BD174" s="285"/>
      <c r="BE174" s="285"/>
      <c r="BF174" s="106"/>
      <c r="BH174" s="221"/>
    </row>
    <row r="175" spans="52:60" ht="15.95" hidden="1" customHeight="1">
      <c r="AZ175" s="105"/>
      <c r="BA175" s="106"/>
      <c r="BD175" s="285"/>
      <c r="BE175" s="285"/>
      <c r="BF175" s="106"/>
      <c r="BH175" s="221"/>
    </row>
    <row r="176" spans="52:60" ht="15.95" hidden="1" customHeight="1">
      <c r="AZ176" s="105"/>
      <c r="BA176" s="106"/>
      <c r="BD176" s="285"/>
      <c r="BE176" s="285"/>
      <c r="BF176" s="106"/>
      <c r="BH176" s="221"/>
    </row>
    <row r="177" spans="52:60" ht="15.95" hidden="1" customHeight="1">
      <c r="AZ177" s="105"/>
      <c r="BA177" s="106"/>
      <c r="BD177" s="285"/>
      <c r="BE177" s="285"/>
      <c r="BF177" s="106"/>
      <c r="BH177" s="221"/>
    </row>
    <row r="178" spans="52:60" ht="15.95" hidden="1" customHeight="1">
      <c r="AZ178" s="105"/>
      <c r="BA178" s="106"/>
      <c r="BD178" s="285"/>
      <c r="BE178" s="285"/>
      <c r="BF178" s="106"/>
      <c r="BH178" s="221"/>
    </row>
    <row r="179" spans="52:60" ht="15.95" hidden="1" customHeight="1">
      <c r="AZ179" s="105"/>
      <c r="BA179" s="106"/>
      <c r="BD179" s="285"/>
      <c r="BE179" s="285"/>
      <c r="BF179" s="106"/>
      <c r="BH179" s="221"/>
    </row>
    <row r="180" spans="52:60" ht="15.95" hidden="1" customHeight="1">
      <c r="AZ180" s="105"/>
      <c r="BA180" s="106"/>
      <c r="BD180" s="285"/>
      <c r="BE180" s="285"/>
      <c r="BF180" s="106"/>
      <c r="BH180" s="221"/>
    </row>
    <row r="181" spans="52:60" ht="15.95" hidden="1" customHeight="1">
      <c r="AZ181" s="105"/>
      <c r="BA181" s="106"/>
      <c r="BD181" s="285"/>
      <c r="BE181" s="285"/>
      <c r="BF181" s="106"/>
      <c r="BH181" s="221"/>
    </row>
    <row r="182" spans="52:60" ht="15.95" hidden="1" customHeight="1">
      <c r="AZ182" s="105"/>
      <c r="BA182" s="106"/>
      <c r="BD182" s="285"/>
      <c r="BE182" s="285"/>
      <c r="BF182" s="106"/>
      <c r="BH182" s="221"/>
    </row>
    <row r="183" spans="52:60" ht="15.95" hidden="1" customHeight="1">
      <c r="AZ183" s="105"/>
      <c r="BA183" s="106"/>
      <c r="BD183" s="285"/>
      <c r="BE183" s="285"/>
      <c r="BF183" s="106"/>
      <c r="BH183" s="221"/>
    </row>
    <row r="184" spans="52:60" ht="15.95" hidden="1" customHeight="1">
      <c r="AZ184" s="105"/>
      <c r="BA184" s="106"/>
      <c r="BD184" s="285"/>
      <c r="BE184" s="285"/>
      <c r="BF184" s="106"/>
      <c r="BH184" s="221"/>
    </row>
    <row r="185" spans="52:60" ht="15.95" hidden="1" customHeight="1">
      <c r="AZ185" s="105"/>
      <c r="BA185" s="106"/>
      <c r="BD185" s="285"/>
      <c r="BE185" s="285"/>
      <c r="BF185" s="106"/>
      <c r="BH185" s="221"/>
    </row>
    <row r="186" spans="52:60" ht="15.95" hidden="1" customHeight="1">
      <c r="AZ186" s="105"/>
      <c r="BA186" s="106"/>
      <c r="BD186" s="285"/>
      <c r="BE186" s="285"/>
      <c r="BF186" s="106"/>
      <c r="BH186" s="221"/>
    </row>
    <row r="187" spans="52:60" ht="15.95" hidden="1" customHeight="1">
      <c r="AZ187" s="105"/>
      <c r="BA187" s="106"/>
      <c r="BD187" s="285"/>
      <c r="BE187" s="285"/>
      <c r="BF187" s="106"/>
      <c r="BH187" s="221"/>
    </row>
    <row r="188" spans="52:60" ht="15.95" hidden="1" customHeight="1">
      <c r="AZ188" s="105"/>
      <c r="BA188" s="106"/>
      <c r="BD188" s="285"/>
      <c r="BE188" s="285"/>
      <c r="BF188" s="106"/>
      <c r="BH188" s="221"/>
    </row>
    <row r="189" spans="52:60" ht="15.95" hidden="1" customHeight="1">
      <c r="AZ189" s="105"/>
      <c r="BA189" s="106"/>
      <c r="BD189" s="285"/>
      <c r="BE189" s="285"/>
      <c r="BF189" s="106"/>
      <c r="BH189" s="221"/>
    </row>
    <row r="190" spans="52:60" ht="15.95" hidden="1" customHeight="1">
      <c r="AZ190" s="105"/>
      <c r="BA190" s="106"/>
      <c r="BD190" s="285"/>
      <c r="BE190" s="285"/>
      <c r="BF190" s="106"/>
      <c r="BH190" s="221"/>
    </row>
    <row r="191" spans="52:60" ht="15.95" hidden="1" customHeight="1">
      <c r="AZ191" s="105"/>
      <c r="BA191" s="106"/>
      <c r="BD191" s="285"/>
      <c r="BE191" s="285"/>
      <c r="BF191" s="106"/>
      <c r="BH191" s="221"/>
    </row>
    <row r="192" spans="52:60" ht="15.95" hidden="1" customHeight="1">
      <c r="AZ192" s="105"/>
      <c r="BA192" s="106"/>
      <c r="BD192" s="285"/>
      <c r="BE192" s="285"/>
      <c r="BF192" s="106"/>
      <c r="BH192" s="221"/>
    </row>
    <row r="193" spans="1:61" ht="15.95" hidden="1" customHeight="1">
      <c r="AZ193" s="105"/>
      <c r="BA193" s="106"/>
      <c r="BD193" s="285"/>
      <c r="BE193" s="285"/>
      <c r="BF193" s="106"/>
      <c r="BH193" s="221"/>
    </row>
    <row r="194" spans="1:61" ht="15.95" hidden="1" customHeight="1">
      <c r="AZ194" s="105"/>
      <c r="BA194" s="106"/>
      <c r="BD194" s="285"/>
      <c r="BE194" s="285"/>
      <c r="BF194" s="106"/>
      <c r="BH194" s="221"/>
    </row>
    <row r="195" spans="1:61" ht="15.95" hidden="1" customHeight="1">
      <c r="AZ195" s="105"/>
      <c r="BA195" s="106"/>
      <c r="BD195" s="285"/>
      <c r="BE195" s="285"/>
      <c r="BF195" s="106"/>
      <c r="BH195" s="221"/>
    </row>
    <row r="196" spans="1:61" ht="15.95" hidden="1" customHeight="1">
      <c r="AZ196" s="105"/>
      <c r="BA196" s="106"/>
      <c r="BD196" s="285"/>
      <c r="BE196" s="285"/>
      <c r="BF196" s="106"/>
      <c r="BH196" s="221"/>
    </row>
    <row r="197" spans="1:61" ht="15.95" hidden="1" customHeight="1">
      <c r="AZ197" s="105"/>
      <c r="BA197" s="106"/>
      <c r="BD197" s="285"/>
      <c r="BE197" s="285"/>
      <c r="BF197" s="106"/>
      <c r="BH197" s="221"/>
    </row>
    <row r="198" spans="1:61" ht="15.95" hidden="1" customHeight="1">
      <c r="AZ198" s="105"/>
      <c r="BA198" s="106"/>
      <c r="BD198" s="285"/>
      <c r="BE198" s="285"/>
      <c r="BF198" s="106"/>
      <c r="BH198" s="221"/>
    </row>
    <row r="199" spans="1:61" ht="15.95" hidden="1" customHeight="1">
      <c r="AZ199" s="105"/>
      <c r="BA199" s="106"/>
      <c r="BD199" s="285"/>
      <c r="BE199" s="285"/>
      <c r="BF199" s="106"/>
      <c r="BH199" s="221"/>
    </row>
    <row r="200" spans="1:61"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c r="BB200" s="1066">
        <f>IF(OR(COUNTIF(BB18:BC25,"Missing!")&gt;0,COUNTIF(BB18:BC25,0)&gt;0,IF(2*COUNTBLANK(AK18:AK37)=COUNTBLANK(BB18:BC37),0,1)&gt;0),"Missing Units on Custom Miscellaneous. ",SUM(BB18:BB25))</f>
        <v>0</v>
      </c>
      <c r="BC200" s="838">
        <f>SUM(BC18:BC37)</f>
        <v>0</v>
      </c>
      <c r="BD200" s="838">
        <f>SUM(BD18:BD37)</f>
        <v>0</v>
      </c>
      <c r="BE200" s="838">
        <f>SUM(BE18:BE37)</f>
        <v>0</v>
      </c>
      <c r="BH200" s="1065">
        <f>SUM(BH18:BH37)</f>
        <v>0</v>
      </c>
      <c r="BI200" s="1065">
        <f>SUM(BI18:BI37)</f>
        <v>0</v>
      </c>
    </row>
    <row r="201" spans="1:61"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c r="BB201" s="1066"/>
      <c r="BC201" s="838"/>
      <c r="BD201" s="838"/>
      <c r="BE201" s="838"/>
      <c r="BH201" s="837"/>
      <c r="BI201" s="837"/>
    </row>
    <row r="202" spans="1:61"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61" ht="15.95" hidden="1" customHeight="1"/>
    <row r="204" spans="1:61" ht="15.95" hidden="1" customHeight="1"/>
    <row r="205" spans="1:61" ht="15" hidden="1" customHeight="1"/>
    <row r="206" spans="1:61" ht="15" hidden="1" customHeight="1"/>
  </sheetData>
  <sheetProtection algorithmName="SHA-512" hashValue="FxmTo1Ep1drENeyXTW2xyBO8p6P7ghtBtlcZfcgpXn5O82p7g9M3E0XmU+qBzl/l4AKkJv7dEqmq+/O0wR4ZSw==" saltValue="ecH3/vRbSaw2TbUYHPBQwg==" spinCount="100000" sheet="1" objects="1" scenarios="1" selectLockedCells="1"/>
  <mergeCells count="191">
    <mergeCell ref="F1:I3"/>
    <mergeCell ref="J1:M3"/>
    <mergeCell ref="O1:AE3"/>
    <mergeCell ref="AL1:AO3"/>
    <mergeCell ref="AP1:AS3"/>
    <mergeCell ref="AT1:AW3"/>
    <mergeCell ref="B18:B19"/>
    <mergeCell ref="BB20:BB21"/>
    <mergeCell ref="BC20:BC21"/>
    <mergeCell ref="AE20:AG21"/>
    <mergeCell ref="V14:Y14"/>
    <mergeCell ref="Z14:AC14"/>
    <mergeCell ref="T18:X19"/>
    <mergeCell ref="Y18:AA19"/>
    <mergeCell ref="T20:X21"/>
    <mergeCell ref="Y20:AA21"/>
    <mergeCell ref="Q16:S17"/>
    <mergeCell ref="AH20:AJ21"/>
    <mergeCell ref="A5:E6"/>
    <mergeCell ref="AQ5:AU6"/>
    <mergeCell ref="A7:E7"/>
    <mergeCell ref="AQ7:AU7"/>
    <mergeCell ref="T16:X17"/>
    <mergeCell ref="Y16:AA17"/>
    <mergeCell ref="AB22:AD23"/>
    <mergeCell ref="AE22:AG23"/>
    <mergeCell ref="L16:P17"/>
    <mergeCell ref="AE18:AG19"/>
    <mergeCell ref="C20:K21"/>
    <mergeCell ref="AB20:AD21"/>
    <mergeCell ref="L18:P19"/>
    <mergeCell ref="Q18:S19"/>
    <mergeCell ref="L20:P21"/>
    <mergeCell ref="Q20:S21"/>
    <mergeCell ref="A8:E8"/>
    <mergeCell ref="AQ8:AU8"/>
    <mergeCell ref="C16:K17"/>
    <mergeCell ref="AB16:AD17"/>
    <mergeCell ref="AE16:AG17"/>
    <mergeCell ref="C18:K19"/>
    <mergeCell ref="AB18:AD19"/>
    <mergeCell ref="AI13:AQ14"/>
    <mergeCell ref="B24:B25"/>
    <mergeCell ref="AN24:AQ25"/>
    <mergeCell ref="B22:B23"/>
    <mergeCell ref="G9:J11"/>
    <mergeCell ref="K9:N11"/>
    <mergeCell ref="B20:B21"/>
    <mergeCell ref="AH18:AJ19"/>
    <mergeCell ref="R12:U13"/>
    <mergeCell ref="V12:Y13"/>
    <mergeCell ref="Z12:AC13"/>
    <mergeCell ref="R14:U14"/>
    <mergeCell ref="O9:R11"/>
    <mergeCell ref="S9:V11"/>
    <mergeCell ref="W9:Z11"/>
    <mergeCell ref="AA9:AD11"/>
    <mergeCell ref="C22:K23"/>
    <mergeCell ref="C24:K25"/>
    <mergeCell ref="AB24:AD25"/>
    <mergeCell ref="AE24:AG25"/>
    <mergeCell ref="L24:P25"/>
    <mergeCell ref="Q24:S25"/>
    <mergeCell ref="T24:X25"/>
    <mergeCell ref="Y24:AA25"/>
    <mergeCell ref="BB24:BB25"/>
    <mergeCell ref="BC24:BC25"/>
    <mergeCell ref="BM20:BM21"/>
    <mergeCell ref="BN20:BN21"/>
    <mergeCell ref="BQ20:BQ21"/>
    <mergeCell ref="BR20:BR21"/>
    <mergeCell ref="BK18:BK19"/>
    <mergeCell ref="BL18:BL19"/>
    <mergeCell ref="M200:AG201"/>
    <mergeCell ref="BD200:BD201"/>
    <mergeCell ref="BE200:BE201"/>
    <mergeCell ref="BH200:BH201"/>
    <mergeCell ref="AH24:AJ25"/>
    <mergeCell ref="AK24:AM25"/>
    <mergeCell ref="BH24:BH25"/>
    <mergeCell ref="AH22:AJ23"/>
    <mergeCell ref="AK22:AM23"/>
    <mergeCell ref="AN22:AQ23"/>
    <mergeCell ref="L22:P23"/>
    <mergeCell ref="Q22:S23"/>
    <mergeCell ref="T22:X23"/>
    <mergeCell ref="Y22:AA23"/>
    <mergeCell ref="BO18:BO19"/>
    <mergeCell ref="BP18:BP19"/>
    <mergeCell ref="AZ20:AZ21"/>
    <mergeCell ref="BA20:BA21"/>
    <mergeCell ref="AY20:AY21"/>
    <mergeCell ref="AN20:AQ21"/>
    <mergeCell ref="AK20:AM21"/>
    <mergeCell ref="BF20:BF21"/>
    <mergeCell ref="BG20:BG21"/>
    <mergeCell ref="BH20:BH21"/>
    <mergeCell ref="BI20:BI21"/>
    <mergeCell ref="BJ20:BJ21"/>
    <mergeCell ref="BK20:BK21"/>
    <mergeCell ref="BD20:BD21"/>
    <mergeCell ref="BE20:BE21"/>
    <mergeCell ref="BH18:BH19"/>
    <mergeCell ref="BI18:BI19"/>
    <mergeCell ref="BJ18:BJ19"/>
    <mergeCell ref="AK18:AM19"/>
    <mergeCell ref="AN18:AQ19"/>
    <mergeCell ref="AY18:AY19"/>
    <mergeCell ref="AZ18:AZ19"/>
    <mergeCell ref="BA18:BA19"/>
    <mergeCell ref="BD18:BD19"/>
    <mergeCell ref="AY16:AY17"/>
    <mergeCell ref="AZ16:AZ17"/>
    <mergeCell ref="BA16:BA17"/>
    <mergeCell ref="BD16:BD17"/>
    <mergeCell ref="BE16:BE17"/>
    <mergeCell ref="AH16:AJ17"/>
    <mergeCell ref="AK16:AM17"/>
    <mergeCell ref="BM18:BM19"/>
    <mergeCell ref="BE18:BE19"/>
    <mergeCell ref="BF18:BF19"/>
    <mergeCell ref="BL16:BL17"/>
    <mergeCell ref="BM16:BM17"/>
    <mergeCell ref="BB16:BB17"/>
    <mergeCell ref="BC16:BC17"/>
    <mergeCell ref="BB18:BB19"/>
    <mergeCell ref="BC18:BC19"/>
    <mergeCell ref="AN16:AQ17"/>
    <mergeCell ref="BF16:BF17"/>
    <mergeCell ref="BG16:BG17"/>
    <mergeCell ref="BH16:BH17"/>
    <mergeCell ref="BI16:BI17"/>
    <mergeCell ref="BJ16:BJ17"/>
    <mergeCell ref="BK16:BK17"/>
    <mergeCell ref="BG18:BG19"/>
    <mergeCell ref="BS16:BS17"/>
    <mergeCell ref="BS18:BS19"/>
    <mergeCell ref="BS20:BS21"/>
    <mergeCell ref="BS22:BS23"/>
    <mergeCell ref="BJ22:BJ23"/>
    <mergeCell ref="BK22:BK23"/>
    <mergeCell ref="BL22:BL23"/>
    <mergeCell ref="BM22:BM23"/>
    <mergeCell ref="BN22:BN23"/>
    <mergeCell ref="BR16:BR17"/>
    <mergeCell ref="BQ18:BQ19"/>
    <mergeCell ref="BR18:BR19"/>
    <mergeCell ref="BN18:BN19"/>
    <mergeCell ref="BO22:BO23"/>
    <mergeCell ref="BP22:BP23"/>
    <mergeCell ref="BQ22:BQ23"/>
    <mergeCell ref="BR22:BR23"/>
    <mergeCell ref="BN16:BN17"/>
    <mergeCell ref="BO16:BO17"/>
    <mergeCell ref="BP16:BP17"/>
    <mergeCell ref="BQ16:BQ17"/>
    <mergeCell ref="BO20:BO21"/>
    <mergeCell ref="BP20:BP21"/>
    <mergeCell ref="BL20:BL21"/>
    <mergeCell ref="BS24:BS25"/>
    <mergeCell ref="BR24:BR25"/>
    <mergeCell ref="BI24:BI25"/>
    <mergeCell ref="BJ24:BJ25"/>
    <mergeCell ref="BK24:BK25"/>
    <mergeCell ref="BL24:BL25"/>
    <mergeCell ref="BM24:BM25"/>
    <mergeCell ref="BN24:BN25"/>
    <mergeCell ref="BO24:BO25"/>
    <mergeCell ref="BP24:BP25"/>
    <mergeCell ref="BQ24:BQ25"/>
    <mergeCell ref="AY22:AY23"/>
    <mergeCell ref="AZ22:AZ23"/>
    <mergeCell ref="BA22:BA23"/>
    <mergeCell ref="BD22:BD23"/>
    <mergeCell ref="BE22:BE23"/>
    <mergeCell ref="BI200:BI201"/>
    <mergeCell ref="BF22:BF23"/>
    <mergeCell ref="BG22:BG23"/>
    <mergeCell ref="BH22:BH23"/>
    <mergeCell ref="BI22:BI23"/>
    <mergeCell ref="BB200:BB201"/>
    <mergeCell ref="BC200:BC201"/>
    <mergeCell ref="BB22:BB23"/>
    <mergeCell ref="BC22:BC23"/>
    <mergeCell ref="AY24:AY25"/>
    <mergeCell ref="AZ24:AZ25"/>
    <mergeCell ref="BA24:BA25"/>
    <mergeCell ref="BD24:BD25"/>
    <mergeCell ref="BE24:BE25"/>
    <mergeCell ref="BF24:BF25"/>
    <mergeCell ref="BG24:BG25"/>
  </mergeCells>
  <conditionalFormatting sqref="C18:K25">
    <cfRule type="expression" dxfId="58" priority="9">
      <formula>IF(AND($C18&lt;&gt;"",OR(ISBLANK(C18)=TRUE,C18="")),TRUE,FALSE)</formula>
    </cfRule>
  </conditionalFormatting>
  <conditionalFormatting sqref="L18 Q18 AB18:AG25 L20 Q20">
    <cfRule type="expression" dxfId="57" priority="7">
      <formula>IF(AND($C18&lt;&gt;"",OR(ISBLANK(L18)=TRUE,L18="")),TRUE,FALSE)</formula>
    </cfRule>
  </conditionalFormatting>
  <conditionalFormatting sqref="L22 Q22 L24 Q24">
    <cfRule type="expression" dxfId="56" priority="5">
      <formula>IF(AND($C22&lt;&gt;"",OR(ISBLANK(L22)=TRUE,L22="")),TRUE,FALSE)</formula>
    </cfRule>
  </conditionalFormatting>
  <conditionalFormatting sqref="T18 Y18 T20 Y20">
    <cfRule type="expression" dxfId="55" priority="4">
      <formula>IF(AND($C18&lt;&gt;"",OR(ISBLANK(T18)=TRUE,T18="")),TRUE,FALSE)</formula>
    </cfRule>
  </conditionalFormatting>
  <conditionalFormatting sqref="T22 Y22 T24 Y24">
    <cfRule type="expression" dxfId="54" priority="3">
      <formula>IF(AND($C22&lt;&gt;"",OR(ISBLANK(T22)=TRUE,T22="")),TRUE,FALSE)</formula>
    </cfRule>
  </conditionalFormatting>
  <conditionalFormatting sqref="AN18:AQ25">
    <cfRule type="expression" dxfId="53" priority="1" stopIfTrue="1">
      <formula>ISNUMBER($AN18)=FALSE</formula>
    </cfRule>
    <cfRule type="expression" dxfId="52" priority="6">
      <formula>$AN18 &lt;&gt; $BJ18</formula>
    </cfRule>
  </conditionalFormatting>
  <conditionalFormatting sqref="AQ8:AW8">
    <cfRule type="expression" dxfId="51" priority="1702">
      <formula>IF($AQ$8=PROJSTATMEASURE,FALSE,TRUE)</formula>
    </cfRule>
  </conditionalFormatting>
  <conditionalFormatting sqref="BB18:BC25 BI18:BI25">
    <cfRule type="expression" dxfId="50" priority="2">
      <formula>IF(AND(ISNUMBER($AK18),OR(BB18="Missing!",BB18="")),TRUE,FALSE)</formula>
    </cfRule>
  </conditionalFormatting>
  <dataValidations count="6">
    <dataValidation type="decimal" allowBlank="1" showInputMessage="1" showErrorMessage="1" sqref="P22:P25 X18:X25" xr:uid="{F8122224-CDD7-4120-B2BD-09AA3490EB95}">
      <formula1>0</formula1>
      <formula2>999999</formula2>
    </dataValidation>
    <dataValidation type="decimal" allowBlank="1" showInputMessage="1" showErrorMessage="1" prompt="Input the total cost of the Efficient Equipment" sqref="AE18:AG25" xr:uid="{8DC34917-95F4-43A6-BEB7-3ABAEAE76995}">
      <formula1>AB18</formula1>
      <formula2>999999999</formula2>
    </dataValidation>
    <dataValidation type="decimal" allowBlank="1" showInputMessage="1" showErrorMessage="1" prompt="Input the total cost of the Baseline Equipment" sqref="AB18:AD25" xr:uid="{24E5411C-5BF6-4128-826B-DB5B65E2E117}">
      <formula1>0</formula1>
      <formula2>999999999</formula2>
    </dataValidation>
    <dataValidation type="list" allowBlank="1" showInputMessage="1" showErrorMessage="1" sqref="C18:K25" xr:uid="{B6C5BF33-C8A6-45E3-B39A-5AF119701976}">
      <formula1>CMEMISCLIST_N</formula1>
    </dataValidation>
    <dataValidation type="list" allowBlank="1" showInputMessage="1" sqref="BG18:BG25" xr:uid="{9A0DF128-D98E-4EFC-B363-0206AEBA68FB}">
      <formula1>ENDUSECAT</formula1>
    </dataValidation>
    <dataValidation type="whole" operator="greaterThanOrEqual" allowBlank="1" showInputMessage="1" showErrorMessage="1" errorTitle="Invalid Entry" error="Value must be a whole number." sqref="Q18:S25 Y18:AA25" xr:uid="{6C3E9CEC-ED02-4D75-B262-2821581FF797}">
      <formula1>0</formula1>
    </dataValidation>
  </dataValidations>
  <hyperlinks>
    <hyperlink ref="G9:J11" location="'M03-S04'!C18" tooltip="Refrigeration" display="'M03-S04'!C18" xr:uid="{1AF5F7FC-59EF-4985-9D74-E8BF267D420D}"/>
    <hyperlink ref="K9:N11" location="'M03-S05'!C18" tooltip="HVAC" display="'M03-S05'!C18" xr:uid="{FE3748A4-F26E-4FA1-B9D5-9BC6C6DCC078}"/>
    <hyperlink ref="S9:V11" location="'M03-S06'!C18" tooltip="Compressed Air / Process" display="'M03-S06'!C18" xr:uid="{7D8D37ED-173E-43C1-8202-973F4A1C4696}"/>
    <hyperlink ref="W9:Z11" location="'M03-S07'!C18" tooltip="Water Heating / Cooking" display="'M03-S07'!C18" xr:uid="{0528165E-0F70-4C39-919B-9A54516175B1}"/>
    <hyperlink ref="O9:R11" location="'M03-S08'!C18" tooltip="Motors and Drives" display="'M03-S08'!C18" xr:uid="{96B3759B-5C38-452E-81B6-6E556A7768E6}"/>
    <hyperlink ref="AA9:AD11" location="'M04-S09'!C18" tooltip="Miscellaneous" display="'M04-S09'!C18" xr:uid="{5702A97F-D4D5-4D8C-9B66-2900202D5B4F}"/>
    <hyperlink ref="B202" r:id="rId1" display="businessrebates@evergy.com" xr:uid="{3E83F575-1030-4BB2-8ECF-24FD348FA9B1}"/>
  </hyperlinks>
  <printOptions horizontalCentered="1"/>
  <pageMargins left="0" right="0" top="0" bottom="0" header="0" footer="0"/>
  <pageSetup scale="4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EAF7-CA66-4E3C-B00D-9E547484159F}">
  <sheetPr codeName="Sheet86">
    <tabColor theme="9" tint="0.59999389629810485"/>
    <pageSetUpPr fitToPage="1"/>
  </sheetPr>
  <dimension ref="A1:BX202"/>
  <sheetViews>
    <sheetView showGridLines="0" showRowColHeaders="0" zoomScale="85" zoomScaleNormal="85" workbookViewId="0">
      <selection activeCell="C18" sqref="C18:P19"/>
    </sheetView>
  </sheetViews>
  <sheetFormatPr defaultColWidth="0" defaultRowHeight="15.95" customHeight="1" zeroHeight="1"/>
  <cols>
    <col min="1" max="49" width="4.7109375" customWidth="1"/>
    <col min="50" max="50" width="4.7109375" hidden="1"/>
    <col min="51" max="51" width="16.5703125" hidden="1"/>
    <col min="52" max="52" width="14.85546875" hidden="1"/>
    <col min="53" max="53" width="8.85546875" hidden="1"/>
    <col min="54" max="54" width="10.5703125" hidden="1"/>
    <col min="55" max="76" width="8.85546875" hidden="1"/>
    <col min="77" max="16384" width="9.140625" hidden="1"/>
  </cols>
  <sheetData>
    <row r="1" spans="1:55"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55"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55"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55" ht="15.95" customHeight="1">
      <c r="B4" s="199"/>
      <c r="C4" s="199"/>
      <c r="D4" s="199"/>
      <c r="E4" s="199"/>
    </row>
    <row r="5" spans="1:55" ht="15.95" customHeight="1">
      <c r="A5" s="667">
        <f>INCENTOTAL_N</f>
        <v>0</v>
      </c>
      <c r="B5" s="667"/>
      <c r="C5" s="667"/>
      <c r="D5" s="667"/>
      <c r="E5" s="667"/>
      <c r="AQ5" s="668">
        <f ca="1">PROGRESSSTATUS_N</f>
        <v>0</v>
      </c>
      <c r="AR5" s="668"/>
      <c r="AS5" s="668"/>
      <c r="AT5" s="668"/>
      <c r="AU5" s="668"/>
      <c r="AV5" s="557"/>
      <c r="AW5" s="557"/>
      <c r="AY5" s="21"/>
      <c r="AZ5" s="110" t="s">
        <v>844</v>
      </c>
      <c r="BA5" s="110" t="s">
        <v>198</v>
      </c>
    </row>
    <row r="6" spans="1:55" ht="15.95" customHeight="1">
      <c r="A6" s="667"/>
      <c r="B6" s="667"/>
      <c r="C6" s="667"/>
      <c r="D6" s="667"/>
      <c r="E6" s="667"/>
      <c r="AQ6" s="668"/>
      <c r="AR6" s="668"/>
      <c r="AS6" s="668"/>
      <c r="AT6" s="668"/>
      <c r="AU6" s="668"/>
      <c r="AV6" s="557"/>
      <c r="AW6" s="557"/>
      <c r="AY6" s="109" t="s">
        <v>26</v>
      </c>
      <c r="AZ6" s="108" t="str">
        <f>CBLIGHT_N</f>
        <v>NA</v>
      </c>
      <c r="BA6" s="176" t="str">
        <f>PAYLIGHT_N</f>
        <v>NA</v>
      </c>
    </row>
    <row r="7" spans="1:55" ht="15.95" customHeight="1">
      <c r="A7" s="665" t="s">
        <v>20</v>
      </c>
      <c r="B7" s="665"/>
      <c r="C7" s="665"/>
      <c r="D7" s="665"/>
      <c r="E7" s="665"/>
      <c r="AQ7" s="665" t="s">
        <v>179</v>
      </c>
      <c r="AR7" s="665"/>
      <c r="AS7" s="665"/>
      <c r="AT7" s="665"/>
      <c r="AU7" s="665"/>
      <c r="AV7" s="556"/>
      <c r="AW7" s="556"/>
      <c r="AY7" s="109" t="s">
        <v>50</v>
      </c>
      <c r="AZ7" s="108" t="str">
        <f>CBCUST_N</f>
        <v>NA</v>
      </c>
      <c r="BA7" s="176" t="str">
        <f>PAYCUST_N</f>
        <v>NA</v>
      </c>
    </row>
    <row r="8" spans="1:55" ht="15.95" customHeight="1" thickBot="1">
      <c r="A8" s="665"/>
      <c r="B8" s="665"/>
      <c r="C8" s="665"/>
      <c r="D8" s="665"/>
      <c r="E8" s="665"/>
      <c r="AQ8" s="674" t="str">
        <f ca="1">PROJSTATUS_N</f>
        <v>Enter Measures</v>
      </c>
      <c r="AR8" s="674"/>
      <c r="AS8" s="674"/>
      <c r="AT8" s="674"/>
      <c r="AU8" s="674"/>
      <c r="AV8" s="558"/>
      <c r="AW8" s="558"/>
      <c r="AY8" s="109" t="s">
        <v>273</v>
      </c>
      <c r="AZ8" s="108" t="str">
        <f>CBPROJ_N</f>
        <v>NA</v>
      </c>
      <c r="BA8" s="176" t="str">
        <f>PAYPROJ_N</f>
        <v>NA</v>
      </c>
    </row>
    <row r="9" spans="1:55" ht="15.95" customHeight="1">
      <c r="A9" s="636" t="str">
        <f>N4S9</f>
        <v>Whole Building Performance</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c r="AY9" s="107" t="s">
        <v>828</v>
      </c>
      <c r="AZ9" s="399" t="str">
        <f ca="1">NEWCONCODE</f>
        <v>IECC 2012</v>
      </c>
      <c r="BA9" s="104"/>
    </row>
    <row r="10" spans="1:55"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55" ht="15.95" customHeight="1">
      <c r="A11" s="97"/>
      <c r="B11" s="97"/>
      <c r="C11" s="97"/>
      <c r="D11" s="97"/>
      <c r="E11" s="97"/>
      <c r="F11" s="97"/>
      <c r="G11" s="97"/>
      <c r="H11" s="97"/>
      <c r="I11" s="97"/>
      <c r="J11" s="97"/>
      <c r="K11" s="97"/>
      <c r="L11" s="97"/>
      <c r="M11" s="97"/>
      <c r="N11" s="673" t="s">
        <v>1490</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97"/>
      <c r="AQ11" s="97"/>
      <c r="AR11" s="97"/>
      <c r="AS11" s="97"/>
      <c r="AT11" s="97"/>
      <c r="AU11" s="97"/>
      <c r="AV11" s="97"/>
      <c r="AW11" s="97"/>
    </row>
    <row r="12" spans="1:55" ht="15.95" customHeight="1">
      <c r="R12" s="789" t="str">
        <f>AN18</f>
        <v/>
      </c>
      <c r="S12" s="789"/>
      <c r="T12" s="789"/>
      <c r="U12" s="789"/>
      <c r="V12" s="789">
        <f>SUMIF(AN18,"&gt;0",Y18)</f>
        <v>0</v>
      </c>
      <c r="W12" s="789"/>
      <c r="X12" s="789"/>
      <c r="Y12" s="789"/>
      <c r="Z12" s="790">
        <f>SUMIF(AN18,"&gt;0",AI18)</f>
        <v>0</v>
      </c>
      <c r="AA12" s="790"/>
      <c r="AB12" s="790"/>
      <c r="AC12" s="790"/>
      <c r="AE12" s="1178">
        <f>COMPWBP_N</f>
        <v>1</v>
      </c>
      <c r="AF12" s="1178"/>
      <c r="AG12" s="1178"/>
      <c r="AH12" s="1178"/>
      <c r="AZ12" s="398"/>
    </row>
    <row r="13" spans="1:55" ht="15.95" customHeight="1">
      <c r="R13" s="789"/>
      <c r="S13" s="789"/>
      <c r="T13" s="789"/>
      <c r="U13" s="789"/>
      <c r="V13" s="789"/>
      <c r="W13" s="789"/>
      <c r="X13" s="789"/>
      <c r="Y13" s="789"/>
      <c r="Z13" s="790"/>
      <c r="AA13" s="790"/>
      <c r="AB13" s="790"/>
      <c r="AC13" s="790"/>
      <c r="AE13" s="1178"/>
      <c r="AF13" s="1178"/>
      <c r="AG13" s="1178"/>
      <c r="AH13" s="1178"/>
      <c r="AI13" s="1179"/>
      <c r="AJ13" s="1179"/>
      <c r="AK13" s="1179"/>
      <c r="AL13" s="1179"/>
      <c r="AM13" s="1179"/>
      <c r="AN13" s="1179"/>
      <c r="AO13" s="1179"/>
      <c r="AP13" s="1179"/>
      <c r="AQ13" s="1179"/>
      <c r="AZ13" s="398"/>
    </row>
    <row r="14" spans="1:55" ht="15.95" customHeight="1">
      <c r="R14" s="793" t="s">
        <v>1204</v>
      </c>
      <c r="S14" s="793"/>
      <c r="T14" s="793"/>
      <c r="U14" s="793"/>
      <c r="V14" s="793" t="s">
        <v>4</v>
      </c>
      <c r="W14" s="793"/>
      <c r="X14" s="793"/>
      <c r="Y14" s="793"/>
      <c r="Z14" s="793" t="s">
        <v>776</v>
      </c>
      <c r="AA14" s="793"/>
      <c r="AB14" s="793"/>
      <c r="AC14" s="793"/>
      <c r="AE14" s="793" t="s">
        <v>1715</v>
      </c>
      <c r="AF14" s="793"/>
      <c r="AG14" s="793"/>
      <c r="AH14" s="793"/>
      <c r="AI14" s="1179"/>
      <c r="AJ14" s="1179"/>
      <c r="AK14" s="1179"/>
      <c r="AL14" s="1179"/>
      <c r="AM14" s="1179"/>
      <c r="AN14" s="1179"/>
      <c r="AO14" s="1179"/>
      <c r="AP14" s="1179"/>
      <c r="AQ14" s="1179"/>
    </row>
    <row r="15" spans="1:55" ht="15.95" customHeight="1"/>
    <row r="16" spans="1:55" ht="15.95" customHeight="1">
      <c r="C16" s="794" t="s">
        <v>1488</v>
      </c>
      <c r="D16" s="794"/>
      <c r="E16" s="794"/>
      <c r="F16" s="794"/>
      <c r="G16" s="794"/>
      <c r="H16" s="794"/>
      <c r="I16" s="794"/>
      <c r="J16" s="794"/>
      <c r="K16" s="794"/>
      <c r="L16" s="794"/>
      <c r="M16" s="794"/>
      <c r="N16" s="794"/>
      <c r="O16" s="794"/>
      <c r="P16" s="794"/>
      <c r="Q16" s="958" t="s">
        <v>817</v>
      </c>
      <c r="R16" s="958"/>
      <c r="S16" s="958"/>
      <c r="T16" s="958"/>
      <c r="U16" s="958" t="s">
        <v>1720</v>
      </c>
      <c r="V16" s="958"/>
      <c r="W16" s="958"/>
      <c r="X16" s="958"/>
      <c r="Y16" s="794" t="s">
        <v>1484</v>
      </c>
      <c r="Z16" s="794"/>
      <c r="AA16" s="794"/>
      <c r="AB16" s="794"/>
      <c r="AC16" s="794" t="s">
        <v>1487</v>
      </c>
      <c r="AD16" s="794"/>
      <c r="AE16" s="794"/>
      <c r="AF16" s="794" t="s">
        <v>1489</v>
      </c>
      <c r="AG16" s="794"/>
      <c r="AH16" s="794"/>
      <c r="AI16" s="794" t="s">
        <v>725</v>
      </c>
      <c r="AJ16" s="794"/>
      <c r="AK16" s="794"/>
      <c r="AL16" s="794" t="s">
        <v>1722</v>
      </c>
      <c r="AM16" s="794"/>
      <c r="AN16" s="794" t="s">
        <v>1486</v>
      </c>
      <c r="AO16" s="794"/>
      <c r="AP16" s="794"/>
      <c r="AQ16" s="794"/>
      <c r="AY16" s="1182" t="s">
        <v>1718</v>
      </c>
      <c r="AZ16" s="1182" t="s">
        <v>1721</v>
      </c>
      <c r="BA16" s="796" t="s">
        <v>185</v>
      </c>
      <c r="BB16" s="796" t="s">
        <v>22</v>
      </c>
      <c r="BC16" s="796" t="s">
        <v>1903</v>
      </c>
    </row>
    <row r="17" spans="1:55" ht="15.95" customHeight="1" thickBot="1">
      <c r="C17" s="795"/>
      <c r="D17" s="795"/>
      <c r="E17" s="795"/>
      <c r="F17" s="795"/>
      <c r="G17" s="795"/>
      <c r="H17" s="795"/>
      <c r="I17" s="795"/>
      <c r="J17" s="795"/>
      <c r="K17" s="795"/>
      <c r="L17" s="795"/>
      <c r="M17" s="795"/>
      <c r="N17" s="795"/>
      <c r="O17" s="795"/>
      <c r="P17" s="795"/>
      <c r="Q17" s="795" t="s">
        <v>828</v>
      </c>
      <c r="R17" s="795"/>
      <c r="S17" s="795" t="s">
        <v>1719</v>
      </c>
      <c r="T17" s="795"/>
      <c r="U17" s="795" t="s">
        <v>828</v>
      </c>
      <c r="V17" s="795"/>
      <c r="W17" s="795" t="s">
        <v>1719</v>
      </c>
      <c r="X17" s="795"/>
      <c r="Y17" s="795"/>
      <c r="Z17" s="795"/>
      <c r="AA17" s="795"/>
      <c r="AB17" s="795"/>
      <c r="AC17" s="795"/>
      <c r="AD17" s="795"/>
      <c r="AE17" s="795"/>
      <c r="AF17" s="795"/>
      <c r="AG17" s="795"/>
      <c r="AH17" s="795"/>
      <c r="AI17" s="795"/>
      <c r="AJ17" s="795"/>
      <c r="AK17" s="795"/>
      <c r="AL17" s="795"/>
      <c r="AM17" s="795"/>
      <c r="AN17" s="795"/>
      <c r="AO17" s="795"/>
      <c r="AP17" s="795"/>
      <c r="AQ17" s="795"/>
      <c r="AY17" s="1183"/>
      <c r="AZ17" s="1183"/>
      <c r="BA17" s="797"/>
      <c r="BB17" s="797"/>
      <c r="BC17" s="797"/>
    </row>
    <row r="18" spans="1:55" ht="15.95" customHeight="1">
      <c r="C18" s="893"/>
      <c r="D18" s="893"/>
      <c r="E18" s="893"/>
      <c r="F18" s="893"/>
      <c r="G18" s="893"/>
      <c r="H18" s="893"/>
      <c r="I18" s="893"/>
      <c r="J18" s="893"/>
      <c r="K18" s="893"/>
      <c r="L18" s="893"/>
      <c r="M18" s="893"/>
      <c r="N18" s="893"/>
      <c r="O18" s="893"/>
      <c r="P18" s="1141"/>
      <c r="Q18" s="1143"/>
      <c r="R18" s="1144"/>
      <c r="S18" s="1147"/>
      <c r="T18" s="1075"/>
      <c r="U18" s="1149"/>
      <c r="V18" s="1150"/>
      <c r="W18" s="1153"/>
      <c r="X18" s="1154"/>
      <c r="Y18" s="1136"/>
      <c r="Z18" s="1137"/>
      <c r="AA18" s="1137"/>
      <c r="AB18" s="1138"/>
      <c r="AC18" s="1161" t="str">
        <f>IFERROR(IF(OR(C18="",Q18="",S18="",U18="",W18="",Y18=""),"",IF(((Q18-S18)/Q18)&lt;0,0,((Q18-S18)/Q18))),"")</f>
        <v/>
      </c>
      <c r="AD18" s="1162"/>
      <c r="AE18" s="1163"/>
      <c r="AF18" s="1167" t="str">
        <f>IFERROR(IF(OR(C18="",Q18="",S18="",U18="",W18="",Y18=""),"",IF(AND(AC18&gt;=0.1,AC18&lt;0.25),INDEX(WBPINCENT[Incentive Rate],MATCH("10-25%",WBPINCENT[WBP Energy Savings % Below Baseline],0)),IF(AC18&gt;=0.25,INDEX(WBPINCENT[Incentive Rate],MATCH("≥25%",WBPINCENT[WBP Energy Savings % Below Baseline],0)),0))),"")</f>
        <v/>
      </c>
      <c r="AG18" s="1168"/>
      <c r="AH18" s="1169"/>
      <c r="AI18" s="1172" t="str">
        <f>IFERROR(IF(OR(C18="",Q18="",S18="",U18="",W18="",Y18=""),"",IF(Q18-S18&lt;=0,0,Q18-S18)),"")</f>
        <v/>
      </c>
      <c r="AJ18" s="1173"/>
      <c r="AK18" s="1174"/>
      <c r="AL18" s="1157" t="str">
        <f>IFERROR(IF(OR(C18="",Q18="",S18="",U18="",W18="",Y18=""),"",ROUND((U18-W18),4)),"")</f>
        <v/>
      </c>
      <c r="AM18" s="1158"/>
      <c r="AN18" s="919" t="str">
        <f>IFERROR(IF(OR(C18="",Q18="",S18="",U18="",W18="",Y18=""),"",IF(BA18&lt;&gt;"",BA18,IF(BC18&gt;0,BC18,MIN(WBPCAP,AF18*AI18)))),"")</f>
        <v/>
      </c>
      <c r="AO18" s="919"/>
      <c r="AP18" s="919"/>
      <c r="AQ18" s="919"/>
      <c r="AY18" s="1180" t="str">
        <f>IFERROR(MAX(0,ROUND(AI18-(KWHTOTALALLLIGHT_N+KWHTOTALALLSTD_N+KWHTOTALALLCUST_N),0)),"")</f>
        <v/>
      </c>
      <c r="AZ18" s="1180" t="str">
        <f>IFERROR(MAX(0,ROUND(AL18-(KWTOTALLIGHT_N+KWTOTALSTD_N+KWTOTALCUST_N),4)),"")</f>
        <v/>
      </c>
      <c r="BA18" s="1184" t="str">
        <f ca="1">IFERROR(IF(EXPIRATION&lt;&gt;"",PROJSTATEXP,
IF((Q18-S18)&lt;=0,MEASURESAVE,"")),MEASURESUBMIT)</f>
        <v>No Savings</v>
      </c>
      <c r="BB18" s="1070" t="str">
        <f>IF(OR(C18="",Q18="",S18="",U18="",W18="",Y18=""),"",IF(BA18&lt;&gt;"",SPILLOVERNUMBER,32411901))</f>
        <v/>
      </c>
      <c r="BC18" s="843"/>
    </row>
    <row r="19" spans="1:55" ht="15.95" customHeight="1">
      <c r="C19" s="801"/>
      <c r="D19" s="801"/>
      <c r="E19" s="801"/>
      <c r="F19" s="801"/>
      <c r="G19" s="801"/>
      <c r="H19" s="801"/>
      <c r="I19" s="801"/>
      <c r="J19" s="801"/>
      <c r="K19" s="801"/>
      <c r="L19" s="801"/>
      <c r="M19" s="801"/>
      <c r="N19" s="801"/>
      <c r="O19" s="801"/>
      <c r="P19" s="1142"/>
      <c r="Q19" s="1145"/>
      <c r="R19" s="1146"/>
      <c r="S19" s="1148"/>
      <c r="T19" s="1077"/>
      <c r="U19" s="1151"/>
      <c r="V19" s="1152"/>
      <c r="W19" s="1155"/>
      <c r="X19" s="1156"/>
      <c r="Y19" s="1139"/>
      <c r="Z19" s="817"/>
      <c r="AA19" s="817"/>
      <c r="AB19" s="1140"/>
      <c r="AC19" s="1164"/>
      <c r="AD19" s="1165"/>
      <c r="AE19" s="1166"/>
      <c r="AF19" s="1170"/>
      <c r="AG19" s="1171"/>
      <c r="AH19" s="823"/>
      <c r="AI19" s="1175"/>
      <c r="AJ19" s="1176"/>
      <c r="AK19" s="1177"/>
      <c r="AL19" s="1159"/>
      <c r="AM19" s="1160"/>
      <c r="AN19" s="834"/>
      <c r="AO19" s="834"/>
      <c r="AP19" s="834"/>
      <c r="AQ19" s="834"/>
      <c r="AY19" s="1181"/>
      <c r="AZ19" s="1181"/>
      <c r="BA19" s="1185"/>
      <c r="BB19" s="1071"/>
      <c r="BC19" s="844"/>
    </row>
    <row r="20" spans="1:55" ht="15.95" customHeight="1"/>
    <row r="21" spans="1:55" ht="15.95" customHeight="1">
      <c r="A21" s="637" t="s">
        <v>1491</v>
      </c>
      <c r="B21" s="637"/>
      <c r="C21" s="637"/>
      <c r="D21" s="637"/>
      <c r="E21" s="637"/>
      <c r="F21" s="637"/>
      <c r="G21" s="637"/>
      <c r="H21" s="637"/>
      <c r="I21" s="637"/>
      <c r="J21" s="637"/>
      <c r="K21" s="637"/>
      <c r="L21" s="637"/>
      <c r="M21" s="637"/>
      <c r="N21" s="637"/>
      <c r="O21" s="637"/>
      <c r="P21" s="637"/>
      <c r="Q21" s="637"/>
      <c r="R21" s="637"/>
      <c r="S21" s="637"/>
      <c r="T21" s="637"/>
      <c r="U21" s="637"/>
      <c r="V21" s="637"/>
      <c r="W21" s="637"/>
      <c r="X21" s="637"/>
      <c r="Y21" s="637"/>
      <c r="Z21" s="637"/>
      <c r="AA21" s="637"/>
      <c r="AB21" s="637"/>
      <c r="AC21" s="637"/>
      <c r="AD21" s="637"/>
      <c r="AE21" s="637"/>
      <c r="AF21" s="637"/>
      <c r="AG21" s="637"/>
      <c r="AH21" s="637"/>
      <c r="AI21" s="637"/>
      <c r="AJ21" s="637"/>
      <c r="AK21" s="637"/>
      <c r="AL21" s="637"/>
      <c r="AM21" s="637"/>
      <c r="AN21" s="637"/>
      <c r="AO21" s="637"/>
      <c r="AP21" s="637"/>
      <c r="AQ21" s="637"/>
      <c r="AR21" s="637"/>
      <c r="AS21" s="637"/>
      <c r="AT21" s="637"/>
      <c r="AU21" s="637"/>
      <c r="AV21" s="637"/>
      <c r="AW21" s="637"/>
    </row>
    <row r="22" spans="1:55" ht="15.95" customHeight="1">
      <c r="A22" s="637"/>
      <c r="B22" s="637"/>
      <c r="C22" s="637"/>
      <c r="D22" s="637"/>
      <c r="E22" s="637"/>
      <c r="F22" s="637"/>
      <c r="G22" s="637"/>
      <c r="H22" s="637"/>
      <c r="I22" s="637"/>
      <c r="J22" s="637"/>
      <c r="K22" s="637"/>
      <c r="L22" s="637"/>
      <c r="M22" s="637"/>
      <c r="N22" s="637"/>
      <c r="O22" s="637"/>
      <c r="P22" s="637"/>
      <c r="Q22" s="637"/>
      <c r="R22" s="637"/>
      <c r="S22" s="637"/>
      <c r="T22" s="637"/>
      <c r="U22" s="637"/>
      <c r="V22" s="637"/>
      <c r="W22" s="637"/>
      <c r="X22" s="637"/>
      <c r="Y22" s="637"/>
      <c r="Z22" s="637"/>
      <c r="AA22" s="637"/>
      <c r="AB22" s="637"/>
      <c r="AC22" s="637"/>
      <c r="AD22" s="637"/>
      <c r="AE22" s="637"/>
      <c r="AF22" s="637"/>
      <c r="AG22" s="637"/>
      <c r="AH22" s="637"/>
      <c r="AI22" s="637"/>
      <c r="AJ22" s="637"/>
      <c r="AK22" s="637"/>
      <c r="AL22" s="637"/>
      <c r="AM22" s="637"/>
      <c r="AN22" s="637"/>
      <c r="AO22" s="637"/>
      <c r="AP22" s="637"/>
      <c r="AQ22" s="637"/>
      <c r="AR22" s="637"/>
      <c r="AS22" s="637"/>
      <c r="AT22" s="637"/>
      <c r="AU22" s="637"/>
      <c r="AV22" s="637"/>
      <c r="AW22" s="637"/>
    </row>
    <row r="23" spans="1:55" ht="15.95" customHeight="1">
      <c r="H23" s="84"/>
      <c r="I23" s="84"/>
      <c r="J23" s="1134" t="s">
        <v>1716</v>
      </c>
      <c r="K23" s="1134"/>
      <c r="L23" s="1134"/>
      <c r="M23" s="1134"/>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83"/>
      <c r="AL23" s="83"/>
      <c r="AM23" s="83"/>
    </row>
    <row r="24" spans="1:55" ht="15.95" customHeight="1" thickBot="1">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218"/>
    </row>
    <row r="25" spans="1:55" ht="15.95" customHeight="1">
      <c r="J25" s="678"/>
      <c r="K25" s="679"/>
      <c r="L25" s="679"/>
      <c r="M25" s="679"/>
      <c r="N25" s="679"/>
      <c r="O25" s="679"/>
      <c r="P25" s="679"/>
      <c r="Q25" s="679"/>
      <c r="R25" s="679"/>
      <c r="S25" s="679"/>
      <c r="T25" s="679"/>
      <c r="U25" s="679"/>
      <c r="V25" s="679"/>
      <c r="W25" s="679"/>
      <c r="X25" s="679"/>
      <c r="Y25" s="679"/>
      <c r="Z25" s="679"/>
      <c r="AA25" s="679"/>
      <c r="AB25" s="679"/>
      <c r="AC25" s="679"/>
      <c r="AD25" s="679"/>
      <c r="AE25" s="679"/>
      <c r="AF25" s="679"/>
      <c r="AG25" s="679"/>
      <c r="AH25" s="679"/>
      <c r="AI25" s="679"/>
      <c r="AJ25" s="680"/>
      <c r="AK25" s="218"/>
    </row>
    <row r="26" spans="1:55" ht="15.95" customHeight="1">
      <c r="J26" s="681"/>
      <c r="K26" s="682"/>
      <c r="L26" s="682"/>
      <c r="M26" s="682"/>
      <c r="N26" s="682"/>
      <c r="O26" s="682"/>
      <c r="P26" s="682"/>
      <c r="Q26" s="682"/>
      <c r="R26" s="682"/>
      <c r="S26" s="682"/>
      <c r="T26" s="682"/>
      <c r="U26" s="682"/>
      <c r="V26" s="682"/>
      <c r="W26" s="682"/>
      <c r="X26" s="682"/>
      <c r="Y26" s="682"/>
      <c r="Z26" s="682"/>
      <c r="AA26" s="682"/>
      <c r="AB26" s="682"/>
      <c r="AC26" s="682"/>
      <c r="AD26" s="682"/>
      <c r="AE26" s="682"/>
      <c r="AF26" s="682"/>
      <c r="AG26" s="682"/>
      <c r="AH26" s="682"/>
      <c r="AI26" s="682"/>
      <c r="AJ26" s="683"/>
      <c r="AK26" s="218"/>
    </row>
    <row r="27" spans="1:55" ht="15.95" customHeight="1">
      <c r="J27" s="681"/>
      <c r="K27" s="682"/>
      <c r="L27" s="682"/>
      <c r="M27" s="682"/>
      <c r="N27" s="682"/>
      <c r="O27" s="682"/>
      <c r="P27" s="682"/>
      <c r="Q27" s="682"/>
      <c r="R27" s="682"/>
      <c r="S27" s="682"/>
      <c r="T27" s="682"/>
      <c r="U27" s="682"/>
      <c r="V27" s="682"/>
      <c r="W27" s="682"/>
      <c r="X27" s="682"/>
      <c r="Y27" s="682"/>
      <c r="Z27" s="682"/>
      <c r="AA27" s="682"/>
      <c r="AB27" s="682"/>
      <c r="AC27" s="682"/>
      <c r="AD27" s="682"/>
      <c r="AE27" s="682"/>
      <c r="AF27" s="682"/>
      <c r="AG27" s="682"/>
      <c r="AH27" s="682"/>
      <c r="AI27" s="682"/>
      <c r="AJ27" s="683"/>
      <c r="AK27" s="218"/>
    </row>
    <row r="28" spans="1:55" ht="15.95" customHeight="1">
      <c r="J28" s="681"/>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3"/>
      <c r="AK28" s="218"/>
    </row>
    <row r="29" spans="1:55" ht="15.95" customHeight="1">
      <c r="J29" s="681"/>
      <c r="K29" s="682"/>
      <c r="L29" s="68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3"/>
      <c r="AK29" s="218"/>
    </row>
    <row r="30" spans="1:55" ht="15.95" customHeight="1">
      <c r="J30" s="681"/>
      <c r="K30" s="682"/>
      <c r="L30" s="68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3"/>
      <c r="AK30" s="218"/>
    </row>
    <row r="31" spans="1:55" ht="15.95" customHeight="1">
      <c r="J31" s="681"/>
      <c r="K31" s="682"/>
      <c r="L31" s="682"/>
      <c r="M31" s="682"/>
      <c r="N31" s="682"/>
      <c r="O31" s="682"/>
      <c r="P31" s="682"/>
      <c r="Q31" s="682"/>
      <c r="R31" s="682"/>
      <c r="S31" s="682"/>
      <c r="T31" s="682"/>
      <c r="U31" s="682"/>
      <c r="V31" s="682"/>
      <c r="W31" s="682"/>
      <c r="X31" s="682"/>
      <c r="Y31" s="682"/>
      <c r="Z31" s="682"/>
      <c r="AA31" s="682"/>
      <c r="AB31" s="682"/>
      <c r="AC31" s="682"/>
      <c r="AD31" s="682"/>
      <c r="AE31" s="682"/>
      <c r="AF31" s="682"/>
      <c r="AG31" s="682"/>
      <c r="AH31" s="682"/>
      <c r="AI31" s="682"/>
      <c r="AJ31" s="683"/>
      <c r="AK31" s="396"/>
    </row>
    <row r="32" spans="1:55" ht="15.95" customHeight="1" thickBot="1">
      <c r="J32" s="684"/>
      <c r="K32" s="685"/>
      <c r="L32" s="685"/>
      <c r="M32" s="685"/>
      <c r="N32" s="685"/>
      <c r="O32" s="685"/>
      <c r="P32" s="685"/>
      <c r="Q32" s="685"/>
      <c r="R32" s="685"/>
      <c r="S32" s="685"/>
      <c r="T32" s="685"/>
      <c r="U32" s="685"/>
      <c r="V32" s="685"/>
      <c r="W32" s="685"/>
      <c r="X32" s="685"/>
      <c r="Y32" s="685"/>
      <c r="Z32" s="685"/>
      <c r="AA32" s="685"/>
      <c r="AB32" s="685"/>
      <c r="AC32" s="685"/>
      <c r="AD32" s="685"/>
      <c r="AE32" s="685"/>
      <c r="AF32" s="685"/>
      <c r="AG32" s="685"/>
      <c r="AH32" s="685"/>
      <c r="AI32" s="685"/>
      <c r="AJ32" s="686"/>
    </row>
    <row r="33" spans="10:36" ht="15.95" customHeight="1"/>
    <row r="34" spans="10:36" ht="15.95" customHeight="1" thickBot="1">
      <c r="J34" s="677" t="s">
        <v>1708</v>
      </c>
      <c r="K34" s="677"/>
      <c r="L34" s="677"/>
      <c r="M34" s="677"/>
      <c r="N34" s="677"/>
      <c r="O34" s="677"/>
      <c r="Q34" s="677" t="s">
        <v>1709</v>
      </c>
      <c r="R34" s="677"/>
      <c r="S34" s="677"/>
      <c r="T34" s="677"/>
      <c r="U34" s="677"/>
      <c r="V34" s="677"/>
      <c r="X34" s="677" t="s">
        <v>1710</v>
      </c>
      <c r="Y34" s="677"/>
      <c r="Z34" s="677"/>
      <c r="AA34" s="677"/>
      <c r="AB34" s="677"/>
      <c r="AC34" s="677"/>
      <c r="AE34" s="677" t="s">
        <v>1711</v>
      </c>
      <c r="AF34" s="677"/>
      <c r="AG34" s="677"/>
      <c r="AH34" s="677"/>
      <c r="AI34" s="677"/>
      <c r="AJ34" s="677"/>
    </row>
    <row r="35" spans="10:36" ht="15.95" customHeight="1" thickBot="1">
      <c r="J35" s="1122"/>
      <c r="K35" s="1123"/>
      <c r="L35" s="1123"/>
      <c r="M35" s="1123"/>
      <c r="N35" s="1123"/>
      <c r="O35" s="1124"/>
      <c r="Q35" s="1125"/>
      <c r="R35" s="1126"/>
      <c r="S35" s="1126"/>
      <c r="T35" s="1126"/>
      <c r="U35" s="1126"/>
      <c r="V35" s="1127"/>
      <c r="X35" s="1125"/>
      <c r="Y35" s="1126"/>
      <c r="Z35" s="1126"/>
      <c r="AA35" s="1126"/>
      <c r="AB35" s="1126"/>
      <c r="AC35" s="1127"/>
      <c r="AE35" s="1125"/>
      <c r="AF35" s="1126"/>
      <c r="AG35" s="1126"/>
      <c r="AH35" s="1126"/>
      <c r="AI35" s="1126"/>
      <c r="AJ35" s="1127"/>
    </row>
    <row r="36" spans="10:36" ht="15.95" customHeight="1"/>
    <row r="37" spans="10:36" ht="15.95" customHeight="1" thickBot="1">
      <c r="J37" s="194" t="s">
        <v>2169</v>
      </c>
      <c r="K37" s="328"/>
      <c r="L37" s="328"/>
      <c r="M37" s="328"/>
      <c r="N37" s="328"/>
      <c r="O37" s="328"/>
      <c r="T37" s="194" t="s">
        <v>2170</v>
      </c>
      <c r="U37" s="328"/>
      <c r="V37" s="328"/>
      <c r="W37" s="328"/>
      <c r="X37" s="328"/>
      <c r="Y37" s="328"/>
    </row>
    <row r="38" spans="10:36" ht="15.95" customHeight="1" thickBot="1">
      <c r="J38" s="699"/>
      <c r="K38" s="700"/>
      <c r="L38" s="700"/>
      <c r="M38" s="700"/>
      <c r="N38" s="700"/>
      <c r="O38" s="701"/>
      <c r="T38" s="699"/>
      <c r="U38" s="700"/>
      <c r="V38" s="700"/>
      <c r="W38" s="700"/>
      <c r="X38" s="700"/>
      <c r="Y38" s="700"/>
      <c r="Z38" s="700"/>
      <c r="AA38" s="700"/>
      <c r="AB38" s="700"/>
      <c r="AC38" s="700"/>
      <c r="AD38" s="700"/>
      <c r="AE38" s="700"/>
      <c r="AF38" s="700"/>
      <c r="AG38" s="700"/>
      <c r="AH38" s="700"/>
      <c r="AI38" s="700"/>
      <c r="AJ38" s="701"/>
    </row>
    <row r="39" spans="10:36" ht="15.95" customHeight="1"/>
    <row r="40" spans="10:36" ht="15.95" customHeight="1" thickBot="1">
      <c r="J40" s="327" t="s">
        <v>1712</v>
      </c>
      <c r="K40" s="327"/>
      <c r="L40" s="327"/>
      <c r="M40" s="327"/>
      <c r="N40" s="327"/>
      <c r="O40" s="327"/>
      <c r="Q40" s="327" t="s">
        <v>1713</v>
      </c>
      <c r="R40" s="327"/>
      <c r="S40" s="327"/>
      <c r="T40" s="327"/>
      <c r="U40" s="327"/>
      <c r="V40" s="327"/>
      <c r="X40" s="327" t="s">
        <v>1714</v>
      </c>
      <c r="Y40" s="327"/>
      <c r="Z40" s="327"/>
      <c r="AA40" s="327"/>
      <c r="AB40" s="327"/>
      <c r="AC40" s="327"/>
    </row>
    <row r="41" spans="10:36" ht="15.95" customHeight="1" thickBot="1">
      <c r="J41" s="1128"/>
      <c r="K41" s="1129"/>
      <c r="L41" s="1129"/>
      <c r="M41" s="1129"/>
      <c r="N41" s="1129"/>
      <c r="O41" s="1130"/>
      <c r="Q41" s="1128"/>
      <c r="R41" s="1129"/>
      <c r="S41" s="1129"/>
      <c r="T41" s="1129"/>
      <c r="U41" s="1129"/>
      <c r="V41" s="1130"/>
      <c r="X41" s="1131"/>
      <c r="Y41" s="1132"/>
      <c r="Z41" s="1132"/>
      <c r="AA41" s="1132"/>
      <c r="AB41" s="1132"/>
      <c r="AC41" s="1133"/>
    </row>
    <row r="42" spans="10:36" ht="15.95"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60ZZX8pLLpyB29+tIBk2S28lod7DQYQlB+bS5oWu6nroJMCMPMnCAb92mEIu5W4Ma1qmX3B+1/lle7FXsVxNfA==" saltValue="ftsmp3/pdHiXXf+w0MhteA==" spinCount="100000" sheet="1" objects="1" scenarios="1" selectLockedCells="1"/>
  <mergeCells count="74">
    <mergeCell ref="BC16:BC17"/>
    <mergeCell ref="BC18:BC19"/>
    <mergeCell ref="BA18:BA19"/>
    <mergeCell ref="BA16:BA17"/>
    <mergeCell ref="AZ18:AZ19"/>
    <mergeCell ref="BB16:BB17"/>
    <mergeCell ref="BB18:BB19"/>
    <mergeCell ref="AY18:AY19"/>
    <mergeCell ref="AZ16:AZ17"/>
    <mergeCell ref="AY16:AY17"/>
    <mergeCell ref="AN16:AQ17"/>
    <mergeCell ref="AN18:AQ19"/>
    <mergeCell ref="A5:E6"/>
    <mergeCell ref="AQ5:AU6"/>
    <mergeCell ref="A7:E7"/>
    <mergeCell ref="AQ7:AU7"/>
    <mergeCell ref="F1:I3"/>
    <mergeCell ref="J1:M3"/>
    <mergeCell ref="O1:AE3"/>
    <mergeCell ref="AL1:AO3"/>
    <mergeCell ref="AT1:AW3"/>
    <mergeCell ref="AP1:AS3"/>
    <mergeCell ref="V14:Y14"/>
    <mergeCell ref="Z14:AC14"/>
    <mergeCell ref="AF16:AH17"/>
    <mergeCell ref="AI16:AK17"/>
    <mergeCell ref="AI13:AQ14"/>
    <mergeCell ref="AL16:AM17"/>
    <mergeCell ref="W17:X17"/>
    <mergeCell ref="U16:X16"/>
    <mergeCell ref="Y16:AB17"/>
    <mergeCell ref="U17:V17"/>
    <mergeCell ref="AC16:AE17"/>
    <mergeCell ref="A8:E8"/>
    <mergeCell ref="C16:P17"/>
    <mergeCell ref="AF18:AH19"/>
    <mergeCell ref="AI18:AK19"/>
    <mergeCell ref="A9:AW10"/>
    <mergeCell ref="N11:AJ11"/>
    <mergeCell ref="AQ8:AU8"/>
    <mergeCell ref="AE12:AH13"/>
    <mergeCell ref="Q16:T16"/>
    <mergeCell ref="Q17:R17"/>
    <mergeCell ref="S17:T17"/>
    <mergeCell ref="AE14:AH14"/>
    <mergeCell ref="Z12:AC13"/>
    <mergeCell ref="R14:U14"/>
    <mergeCell ref="R12:U13"/>
    <mergeCell ref="V12:Y13"/>
    <mergeCell ref="J25:AJ32"/>
    <mergeCell ref="J23:AJ24"/>
    <mergeCell ref="Y18:AB19"/>
    <mergeCell ref="C18:P19"/>
    <mergeCell ref="Q18:R19"/>
    <mergeCell ref="S18:T19"/>
    <mergeCell ref="U18:V19"/>
    <mergeCell ref="W18:X19"/>
    <mergeCell ref="A21:AW22"/>
    <mergeCell ref="AL18:AM19"/>
    <mergeCell ref="AC18:AE19"/>
    <mergeCell ref="M200:AG201"/>
    <mergeCell ref="J34:O34"/>
    <mergeCell ref="J35:O35"/>
    <mergeCell ref="J38:O38"/>
    <mergeCell ref="Q34:V34"/>
    <mergeCell ref="Q35:V35"/>
    <mergeCell ref="J41:O41"/>
    <mergeCell ref="Q41:V41"/>
    <mergeCell ref="X41:AC41"/>
    <mergeCell ref="T38:AJ38"/>
    <mergeCell ref="X34:AC34"/>
    <mergeCell ref="X35:AC35"/>
    <mergeCell ref="AE34:AJ34"/>
    <mergeCell ref="AE35:AJ35"/>
  </mergeCells>
  <conditionalFormatting sqref="C18">
    <cfRule type="expression" dxfId="49" priority="7">
      <formula>IF(ISNUMBER(SEARCH("Linear",BA33)),TRUE,FALSE)</formula>
    </cfRule>
  </conditionalFormatting>
  <conditionalFormatting sqref="J40:AC41">
    <cfRule type="expression" dxfId="48" priority="2">
      <formula>IF(OR(N02S03F33="",N02S03F33="New Building"),TRUE,FALSE)</formula>
    </cfRule>
  </conditionalFormatting>
  <conditionalFormatting sqref="Q18 S18 Y18">
    <cfRule type="expression" dxfId="47" priority="6">
      <formula>AND(ISBLANK($C18)=FALSE,OR(ISBLANK(Q18)=TRUE,Q18=""))</formula>
    </cfRule>
  </conditionalFormatting>
  <conditionalFormatting sqref="T37:AJ38">
    <cfRule type="expression" dxfId="46" priority="3">
      <formula>IF(N04S09F06="No",FALSE,TRUE)</formula>
    </cfRule>
  </conditionalFormatting>
  <conditionalFormatting sqref="U18 W18">
    <cfRule type="expression" dxfId="45" priority="1">
      <formula>AND(ISBLANK($C18)=FALSE,OR(ISBLANK(U18)=TRUE,U18=""))</formula>
    </cfRule>
  </conditionalFormatting>
  <conditionalFormatting sqref="AN18:AQ19">
    <cfRule type="expression" dxfId="44" priority="8">
      <formula>ISNUMBER($AN18)=FALSE</formula>
    </cfRule>
  </conditionalFormatting>
  <conditionalFormatting sqref="AQ8:AW8">
    <cfRule type="expression" dxfId="43" priority="1712">
      <formula>IF($AQ$8=PROJSTATMEASURE,FALSE,TRUE)</formula>
    </cfRule>
  </conditionalFormatting>
  <dataValidations count="9">
    <dataValidation type="list" allowBlank="1" showInputMessage="1" showErrorMessage="1" sqref="J38:O38" xr:uid="{1C15D01E-1A90-4A29-8746-48C810112680}">
      <formula1>YESNOLIST</formula1>
    </dataValidation>
    <dataValidation type="decimal" operator="greaterThanOrEqual" allowBlank="1" showInputMessage="1" showErrorMessage="1" errorTitle="Invalid Entry" error="Value must be a positive decimal number." sqref="U18:X19" xr:uid="{83DAB493-3349-4B41-913C-23F482FEBA2F}">
      <formula1>0</formula1>
    </dataValidation>
    <dataValidation type="decimal" allowBlank="1" showInputMessage="1" showErrorMessage="1" sqref="Y18:AB19" xr:uid="{6CA4FFB0-D99B-4339-AE05-2AC416F810D0}">
      <formula1>0</formula1>
      <formula2>999999999</formula2>
    </dataValidation>
    <dataValidation type="list" allowBlank="1" showInputMessage="1" showErrorMessage="1" sqref="C18:P19" xr:uid="{56432DAD-FC01-4371-BD3B-CB45C997F823}">
      <formula1>ENERGYMODELLIST</formula1>
    </dataValidation>
    <dataValidation type="date" allowBlank="1" showInputMessage="1" showErrorMessage="1" sqref="J35:O35" xr:uid="{422198CA-4F94-4F23-BFDD-4FFFBDC5B65E}">
      <formula1>43831</formula1>
      <formula2>45658</formula2>
    </dataValidation>
    <dataValidation type="whole" operator="greaterThan" allowBlank="1" showInputMessage="1" showErrorMessage="1" errorTitle="Invalid Entry" error="Value must be a whole number greater than zero." sqref="AE35:AJ35" xr:uid="{EB42C14B-7AF2-4863-9341-FD6E50A7DFF9}">
      <formula1>0</formula1>
    </dataValidation>
    <dataValidation type="whole" operator="greaterThanOrEqual" allowBlank="1" showInputMessage="1" showErrorMessage="1" errorTitle="Invalid Entry" error="Value must be a whole number." sqref="Q18:T19 Q35:V35 X35:AC35" xr:uid="{1D28F341-2117-4603-AE63-565F9838F989}">
      <formula1>0</formula1>
    </dataValidation>
    <dataValidation type="decimal" allowBlank="1" showInputMessage="1" showErrorMessage="1" sqref="Q41:V41 J41:O41" xr:uid="{F9BD445F-90E8-45D5-9A1B-681CE4A8E143}">
      <formula1>0</formula1>
      <formula2>1</formula2>
    </dataValidation>
    <dataValidation type="whole" allowBlank="1" showInputMessage="1" showErrorMessage="1" sqref="X41:AC41" xr:uid="{93218B41-9BD1-414F-A541-23A456923B0C}">
      <formula1>0</formula1>
      <formula2>2050</formula2>
    </dataValidation>
  </dataValidations>
  <hyperlinks>
    <hyperlink ref="B202" r:id="rId1" display="businessrebates@evergy.com" xr:uid="{0B22B4F2-66D0-4081-A8EE-B829C5784889}"/>
  </hyperlinks>
  <printOptions horizontalCentered="1"/>
  <pageMargins left="0" right="0" top="0" bottom="0" header="0" footer="0"/>
  <pageSetup scale="49" orientation="portrait" r:id="rId2"/>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1594B-B8D1-4C8E-B33B-201B587DA648}">
  <sheetPr codeName="Sheet73">
    <tabColor theme="9" tint="0.59999389629810485"/>
    <pageSetUpPr fitToPage="1"/>
  </sheetPr>
  <dimension ref="A1:AW202"/>
  <sheetViews>
    <sheetView showGridLines="0" showRowColHeaders="0" zoomScale="85" zoomScaleNormal="85" workbookViewId="0">
      <selection activeCell="V13" sqref="V13:AB13"/>
    </sheetView>
  </sheetViews>
  <sheetFormatPr defaultColWidth="0" defaultRowHeight="15.95" customHeight="1" zeroHeight="1"/>
  <cols>
    <col min="1" max="49" width="4.7109375" customWidth="1"/>
    <col min="50" max="16384" width="4.710937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B4" s="199"/>
      <c r="C4" s="199"/>
      <c r="D4" s="199"/>
      <c r="E4" s="199"/>
    </row>
    <row r="5" spans="1:49" ht="15.95" customHeight="1">
      <c r="A5" s="667">
        <f>INCENTOTAL_N</f>
        <v>0</v>
      </c>
      <c r="B5" s="667"/>
      <c r="C5" s="667"/>
      <c r="D5" s="667"/>
      <c r="E5" s="667"/>
      <c r="AQ5" s="668">
        <f ca="1">PROGRESSSTATUS_N</f>
        <v>0</v>
      </c>
      <c r="AR5" s="668"/>
      <c r="AS5" s="668"/>
      <c r="AT5" s="668"/>
      <c r="AU5" s="668"/>
      <c r="AV5" s="557"/>
      <c r="AW5" s="557"/>
    </row>
    <row r="6" spans="1:49" ht="15.95" customHeight="1">
      <c r="A6" s="667"/>
      <c r="B6" s="667"/>
      <c r="C6" s="667"/>
      <c r="D6" s="667"/>
      <c r="E6" s="667"/>
      <c r="AQ6" s="668"/>
      <c r="AR6" s="668"/>
      <c r="AS6" s="668"/>
      <c r="AT6" s="668"/>
      <c r="AU6" s="668"/>
      <c r="AV6" s="557"/>
      <c r="AW6" s="557"/>
    </row>
    <row r="7" spans="1:49" ht="15.95" customHeight="1">
      <c r="A7" s="665" t="s">
        <v>20</v>
      </c>
      <c r="B7" s="665"/>
      <c r="C7" s="665"/>
      <c r="D7" s="665"/>
      <c r="E7" s="665"/>
      <c r="AQ7" s="665" t="s">
        <v>179</v>
      </c>
      <c r="AR7" s="665"/>
      <c r="AS7" s="665"/>
      <c r="AT7" s="665"/>
      <c r="AU7" s="665"/>
      <c r="AV7" s="556"/>
      <c r="AW7" s="556"/>
    </row>
    <row r="8" spans="1:49" ht="15.95" customHeight="1" thickBot="1">
      <c r="A8" s="665"/>
      <c r="B8" s="665"/>
      <c r="C8" s="665"/>
      <c r="D8" s="665"/>
      <c r="E8" s="665"/>
      <c r="AQ8" s="674" t="str">
        <f ca="1">PROJSTATUS_N</f>
        <v>Enter Measures</v>
      </c>
      <c r="AR8" s="674"/>
      <c r="AS8" s="674"/>
      <c r="AT8" s="674"/>
      <c r="AU8" s="674"/>
      <c r="AV8" s="558"/>
      <c r="AW8" s="558"/>
    </row>
    <row r="9" spans="1:49" ht="15.95" customHeight="1">
      <c r="A9" s="636" t="str">
        <f>N5S1</f>
        <v>Payment</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49" ht="15.95" customHeight="1">
      <c r="F11" s="1200" t="s">
        <v>789</v>
      </c>
      <c r="G11" s="1200"/>
      <c r="H11" s="1200"/>
      <c r="I11" s="1200"/>
      <c r="J11" s="1200"/>
      <c r="K11" s="1200"/>
      <c r="L11" s="1200"/>
      <c r="M11" s="1200"/>
      <c r="N11" s="1200"/>
      <c r="O11" s="1200"/>
      <c r="P11" s="1200"/>
      <c r="Q11" s="1200"/>
      <c r="R11" s="1200"/>
      <c r="S11" s="1200"/>
      <c r="T11" s="1200"/>
      <c r="U11" s="1200"/>
      <c r="V11" s="1200"/>
      <c r="W11" s="1200"/>
      <c r="X11" s="1200"/>
      <c r="Y11" s="1200"/>
      <c r="Z11" s="1200"/>
      <c r="AA11" s="1200"/>
      <c r="AB11" s="1200"/>
      <c r="AC11" s="1200"/>
      <c r="AD11" s="1200"/>
      <c r="AE11" s="1200"/>
      <c r="AF11" s="1200"/>
      <c r="AG11" s="1200"/>
      <c r="AH11" s="1200"/>
      <c r="AI11" s="1200"/>
      <c r="AJ11" s="1200"/>
      <c r="AK11" s="1200"/>
      <c r="AL11" s="1200"/>
      <c r="AM11" s="1200"/>
      <c r="AN11" s="1200"/>
      <c r="AO11" s="1200"/>
      <c r="AP11" s="1200"/>
    </row>
    <row r="12" spans="1:49" ht="15.95" customHeight="1" thickBot="1">
      <c r="F12" s="1200"/>
      <c r="G12" s="1200"/>
      <c r="H12" s="1200"/>
      <c r="I12" s="1200"/>
      <c r="J12" s="1200"/>
      <c r="K12" s="1200"/>
      <c r="L12" s="1200"/>
      <c r="M12" s="1200"/>
      <c r="N12" s="1200"/>
      <c r="O12" s="1200"/>
      <c r="P12" s="1200"/>
      <c r="Q12" s="1200"/>
      <c r="R12" s="1200"/>
      <c r="S12" s="1200"/>
      <c r="T12" s="1200"/>
      <c r="U12" s="1200"/>
      <c r="V12" s="1200"/>
      <c r="W12" s="1200"/>
      <c r="X12" s="1200"/>
      <c r="Y12" s="1200"/>
      <c r="Z12" s="1200"/>
      <c r="AA12" s="1200"/>
      <c r="AB12" s="1200"/>
      <c r="AC12" s="1200"/>
      <c r="AD12" s="1200"/>
      <c r="AE12" s="1200"/>
      <c r="AF12" s="1200"/>
      <c r="AG12" s="1200"/>
      <c r="AH12" s="1200"/>
      <c r="AI12" s="1200"/>
      <c r="AJ12" s="1200"/>
      <c r="AK12" s="1200"/>
      <c r="AL12" s="1200"/>
      <c r="AM12" s="1200"/>
      <c r="AN12" s="1200"/>
      <c r="AO12" s="1200"/>
      <c r="AP12" s="1200"/>
    </row>
    <row r="13" spans="1:49" ht="15.95" customHeight="1" thickBot="1">
      <c r="Q13" s="1199" t="s">
        <v>1073</v>
      </c>
      <c r="R13" s="1199"/>
      <c r="S13" s="1199"/>
      <c r="T13" s="1199"/>
      <c r="U13" s="1199"/>
      <c r="V13" s="690"/>
      <c r="W13" s="691"/>
      <c r="X13" s="691"/>
      <c r="Y13" s="691"/>
      <c r="Z13" s="691"/>
      <c r="AA13" s="691"/>
      <c r="AB13" s="692"/>
    </row>
    <row r="14" spans="1:49" ht="15.95" customHeight="1" thickBot="1">
      <c r="N14" s="352"/>
      <c r="O14" s="352"/>
      <c r="P14" s="352"/>
      <c r="Q14" s="352"/>
      <c r="R14" s="352"/>
      <c r="S14" s="355"/>
      <c r="T14" s="355"/>
      <c r="U14" s="355"/>
      <c r="V14" s="355"/>
      <c r="W14" s="355"/>
      <c r="X14" s="355"/>
      <c r="Y14" s="355"/>
      <c r="AE14" s="351"/>
      <c r="AG14" s="355"/>
      <c r="AH14" s="355"/>
      <c r="AI14" s="355"/>
      <c r="AJ14" s="355"/>
      <c r="AK14" s="355"/>
      <c r="AL14" s="355"/>
      <c r="AM14" s="355"/>
    </row>
    <row r="15" spans="1:49" ht="15.95" customHeight="1" thickBot="1">
      <c r="Q15" s="352"/>
      <c r="R15" s="352"/>
      <c r="T15" s="351" t="s">
        <v>1746</v>
      </c>
      <c r="V15" s="690"/>
      <c r="W15" s="691"/>
      <c r="X15" s="691"/>
      <c r="Y15" s="691"/>
      <c r="Z15" s="691"/>
      <c r="AA15" s="691"/>
      <c r="AB15" s="692"/>
      <c r="AE15" s="351"/>
      <c r="AG15" s="355"/>
      <c r="AH15" s="355"/>
      <c r="AI15" s="355"/>
      <c r="AJ15" s="355"/>
      <c r="AK15" s="355"/>
      <c r="AL15" s="355"/>
      <c r="AM15" s="355"/>
    </row>
    <row r="16" spans="1:49" ht="15.95" customHeight="1">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row>
    <row r="17" spans="6:39" ht="15.95" customHeight="1" thickBot="1">
      <c r="F17" s="639" t="s">
        <v>1074</v>
      </c>
      <c r="G17" s="639"/>
      <c r="H17" s="639"/>
      <c r="I17" s="639"/>
      <c r="J17" s="639"/>
      <c r="K17" s="639"/>
      <c r="L17" s="83"/>
      <c r="M17" s="639" t="s">
        <v>872</v>
      </c>
      <c r="N17" s="639"/>
      <c r="O17" s="639"/>
      <c r="P17" s="639"/>
      <c r="Q17" s="639"/>
      <c r="R17" s="639"/>
      <c r="S17" s="85"/>
      <c r="T17" s="639" t="s">
        <v>873</v>
      </c>
      <c r="U17" s="639"/>
      <c r="V17" s="639"/>
      <c r="W17" s="639"/>
      <c r="X17" s="639"/>
      <c r="Y17" s="639"/>
      <c r="Z17" s="85"/>
      <c r="AA17" s="639" t="s">
        <v>2375</v>
      </c>
      <c r="AB17" s="639"/>
      <c r="AC17" s="639"/>
      <c r="AD17" s="639"/>
      <c r="AE17" s="639"/>
      <c r="AF17" s="639"/>
      <c r="AG17" s="85"/>
      <c r="AH17" s="639" t="s">
        <v>2376</v>
      </c>
      <c r="AI17" s="639"/>
      <c r="AJ17" s="639"/>
      <c r="AK17" s="639"/>
      <c r="AL17" s="639"/>
      <c r="AM17" s="639"/>
    </row>
    <row r="18" spans="6:39" ht="15.95" customHeight="1" thickBot="1">
      <c r="F18" s="640" t="str">
        <f>IF(N05S01F01="","",INDEX(PAYMENT_N[Company],MATCH(N05S01F01,PAYMENT_N[Payment to],0)))</f>
        <v/>
      </c>
      <c r="G18" s="641"/>
      <c r="H18" s="641"/>
      <c r="I18" s="641"/>
      <c r="J18" s="641"/>
      <c r="K18" s="642"/>
      <c r="L18" s="89"/>
      <c r="M18" s="640" t="str">
        <f>IF(N05S01F01="","",INDEX(PAYMENT_N[Address],MATCH(N05S01F01,PAYMENT_N[Payment to],0)))</f>
        <v/>
      </c>
      <c r="N18" s="641"/>
      <c r="O18" s="641"/>
      <c r="P18" s="641"/>
      <c r="Q18" s="641"/>
      <c r="R18" s="642"/>
      <c r="S18" s="89"/>
      <c r="T18" s="640" t="str">
        <f>IF(N05S01F01="","",INDEX(PAYMENT_N[City],MATCH(N05S01F01,PAYMENT_N[Payment to],0)))</f>
        <v/>
      </c>
      <c r="U18" s="641"/>
      <c r="V18" s="641"/>
      <c r="W18" s="641"/>
      <c r="X18" s="641"/>
      <c r="Y18" s="642"/>
      <c r="Z18" s="89"/>
      <c r="AA18" s="640" t="str">
        <f>IF(N05S01F01="","",INDEX(PAYMENT_N[State],MATCH(N05S01F01,PAYMENT_N[Payment to],0)))</f>
        <v/>
      </c>
      <c r="AB18" s="641"/>
      <c r="AC18" s="641"/>
      <c r="AD18" s="641"/>
      <c r="AE18" s="641"/>
      <c r="AF18" s="642"/>
      <c r="AG18" s="89"/>
      <c r="AH18" s="640" t="str">
        <f>IF(N05S01F01="","",INDEX(PAYMENT_N[Zip],MATCH(N05S01F01,PAYMENT_N[Payment to],0)))</f>
        <v/>
      </c>
      <c r="AI18" s="641"/>
      <c r="AJ18" s="641"/>
      <c r="AK18" s="641"/>
      <c r="AL18" s="641"/>
      <c r="AM18" s="642"/>
    </row>
    <row r="19" spans="6:39" ht="15.95" customHeight="1">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row>
    <row r="20" spans="6:39" ht="15.95" customHeight="1" thickBot="1">
      <c r="F20" s="639" t="s">
        <v>1078</v>
      </c>
      <c r="G20" s="639"/>
      <c r="H20" s="639"/>
      <c r="I20" s="639"/>
      <c r="J20" s="639"/>
      <c r="K20" s="639"/>
      <c r="L20" s="85"/>
      <c r="M20" s="639" t="s">
        <v>1077</v>
      </c>
      <c r="N20" s="639"/>
      <c r="O20" s="639"/>
      <c r="P20" s="639"/>
      <c r="Q20" s="639"/>
      <c r="R20" s="639"/>
      <c r="S20" s="85"/>
      <c r="T20" s="639" t="s">
        <v>1076</v>
      </c>
      <c r="U20" s="639"/>
      <c r="V20" s="639"/>
      <c r="W20" s="639"/>
      <c r="X20" s="639"/>
      <c r="Y20" s="639"/>
      <c r="AA20" s="639" t="s">
        <v>879</v>
      </c>
      <c r="AB20" s="639"/>
      <c r="AC20" s="639"/>
      <c r="AD20" s="639"/>
      <c r="AE20" s="639"/>
      <c r="AF20" s="639"/>
      <c r="AG20" s="85"/>
      <c r="AH20" s="639" t="s">
        <v>1268</v>
      </c>
      <c r="AI20" s="639"/>
      <c r="AJ20" s="639"/>
      <c r="AK20" s="639"/>
      <c r="AL20" s="639"/>
      <c r="AM20" s="639"/>
    </row>
    <row r="21" spans="6:39" ht="15.95" customHeight="1" thickBot="1">
      <c r="F21" s="640" t="str">
        <f>IF(N05S01F01="","",INDEX(PAYMENT_N[First],MATCH(N05S01F01,PAYMENT_N[Payment to],0)))</f>
        <v/>
      </c>
      <c r="G21" s="641"/>
      <c r="H21" s="641"/>
      <c r="I21" s="641"/>
      <c r="J21" s="641"/>
      <c r="K21" s="642"/>
      <c r="L21" s="89"/>
      <c r="M21" s="640" t="str">
        <f>IF(N05S01F01="","",INDEX(PAYMENT_N[Last],MATCH(N05S01F01,PAYMENT_N[Payment to],0)))</f>
        <v/>
      </c>
      <c r="N21" s="641"/>
      <c r="O21" s="641"/>
      <c r="P21" s="641"/>
      <c r="Q21" s="641"/>
      <c r="R21" s="642"/>
      <c r="S21" s="89"/>
      <c r="T21" s="669" t="str">
        <f>IF(N05S01F01="","",INDEX(PAYMENT_N[Phone],MATCH(N05S01F01,PAYMENT_N[Payment to],0)))</f>
        <v/>
      </c>
      <c r="U21" s="670"/>
      <c r="V21" s="670"/>
      <c r="W21" s="670"/>
      <c r="X21" s="670"/>
      <c r="Y21" s="671"/>
      <c r="Z21" s="17"/>
      <c r="AA21" s="640" t="str">
        <f>IF(N05S01F01="","",INDEX(PAYMENT_N[Email],MATCH(N05S01F01,PAYMENT_N[Payment to],0)))</f>
        <v/>
      </c>
      <c r="AB21" s="641"/>
      <c r="AC21" s="641"/>
      <c r="AD21" s="641"/>
      <c r="AE21" s="641"/>
      <c r="AF21" s="642"/>
      <c r="AG21" s="89"/>
      <c r="AH21" s="640" t="str">
        <f>IF(N02S03F11&lt;&gt;"",N02S03F11,IF(N02S03F12&lt;&gt;"",N02S03F12,""))</f>
        <v/>
      </c>
      <c r="AI21" s="641"/>
      <c r="AJ21" s="641"/>
      <c r="AK21" s="641"/>
      <c r="AL21" s="641"/>
      <c r="AM21" s="642"/>
    </row>
    <row r="22" spans="6:39" ht="15.95" customHeight="1"/>
    <row r="23" spans="6:39" ht="15.95" customHeight="1" thickBot="1">
      <c r="G23" s="1195" t="s">
        <v>1277</v>
      </c>
      <c r="H23" s="1195"/>
      <c r="I23" s="1195"/>
      <c r="J23" s="1195"/>
      <c r="K23" s="1195"/>
      <c r="L23" s="1195"/>
      <c r="M23" s="1195"/>
      <c r="N23" s="1195"/>
      <c r="O23" s="1195"/>
      <c r="P23" s="1195"/>
      <c r="Q23" s="1195"/>
      <c r="R23" s="1195"/>
      <c r="S23" s="1195"/>
      <c r="T23" s="1195"/>
      <c r="U23" s="1195"/>
      <c r="V23" s="1195"/>
      <c r="W23" s="1195"/>
      <c r="X23" s="1195"/>
      <c r="Y23" s="1195"/>
      <c r="AA23" s="639" t="s">
        <v>1075</v>
      </c>
      <c r="AB23" s="639"/>
      <c r="AC23" s="639"/>
      <c r="AD23" s="639"/>
      <c r="AE23" s="639"/>
      <c r="AF23" s="639"/>
      <c r="AH23" s="639" t="s">
        <v>1079</v>
      </c>
      <c r="AI23" s="639"/>
      <c r="AJ23" s="639"/>
      <c r="AK23" s="639"/>
      <c r="AL23" s="639"/>
      <c r="AM23" s="639"/>
    </row>
    <row r="24" spans="6:39" ht="15.95" customHeight="1" thickBot="1">
      <c r="G24" s="1195"/>
      <c r="H24" s="1195"/>
      <c r="I24" s="1195"/>
      <c r="J24" s="1195"/>
      <c r="K24" s="1195"/>
      <c r="L24" s="1195"/>
      <c r="M24" s="1195"/>
      <c r="N24" s="1195"/>
      <c r="O24" s="1195"/>
      <c r="P24" s="1195"/>
      <c r="Q24" s="1195"/>
      <c r="R24" s="1195"/>
      <c r="S24" s="1195"/>
      <c r="T24" s="1195"/>
      <c r="U24" s="1195"/>
      <c r="V24" s="1195"/>
      <c r="W24" s="1195"/>
      <c r="X24" s="1195"/>
      <c r="Y24" s="1195"/>
      <c r="AA24" s="640"/>
      <c r="AB24" s="641"/>
      <c r="AC24" s="641"/>
      <c r="AD24" s="641"/>
      <c r="AE24" s="641"/>
      <c r="AF24" s="642"/>
      <c r="AH24" s="88"/>
      <c r="AI24" s="87" t="s">
        <v>790</v>
      </c>
      <c r="AJ24" s="1196"/>
      <c r="AK24" s="1197"/>
      <c r="AL24" s="1197"/>
      <c r="AM24" s="1198"/>
    </row>
    <row r="25" spans="6:39" ht="15.95" customHeight="1"/>
    <row r="26" spans="6:39" ht="15.95" customHeight="1" thickBot="1">
      <c r="F26" s="84" t="s">
        <v>1206</v>
      </c>
    </row>
    <row r="27" spans="6:39" ht="15.95" customHeight="1">
      <c r="F27" s="1186" t="str">
        <f>IF(N05S01F01="","",INDEX(PAYMENT_N[Terms],MATCH(N05S01F01,PAYMENT_N[Payment to],0)))</f>
        <v/>
      </c>
      <c r="G27" s="1187"/>
      <c r="H27" s="1187"/>
      <c r="I27" s="1187"/>
      <c r="J27" s="1187"/>
      <c r="K27" s="1187"/>
      <c r="L27" s="1187"/>
      <c r="M27" s="1187"/>
      <c r="N27" s="1187"/>
      <c r="O27" s="1187"/>
      <c r="P27" s="1187"/>
      <c r="Q27" s="1187"/>
      <c r="R27" s="1187"/>
      <c r="S27" s="1187"/>
      <c r="T27" s="1187"/>
      <c r="U27" s="1187"/>
      <c r="V27" s="1187"/>
      <c r="W27" s="1187"/>
      <c r="X27" s="1187"/>
      <c r="Y27" s="1187"/>
      <c r="Z27" s="1187"/>
      <c r="AA27" s="1187"/>
      <c r="AB27" s="1187"/>
      <c r="AC27" s="1187"/>
      <c r="AD27" s="1187"/>
      <c r="AE27" s="1187"/>
      <c r="AF27" s="1187"/>
      <c r="AG27" s="1187"/>
      <c r="AH27" s="1187"/>
      <c r="AI27" s="1187"/>
      <c r="AJ27" s="1187"/>
      <c r="AK27" s="1187"/>
      <c r="AL27" s="1187"/>
      <c r="AM27" s="1188"/>
    </row>
    <row r="28" spans="6:39" ht="15.95" customHeight="1">
      <c r="F28" s="1189"/>
      <c r="G28" s="1190"/>
      <c r="H28" s="1190"/>
      <c r="I28" s="1190"/>
      <c r="J28" s="1190"/>
      <c r="K28" s="1190"/>
      <c r="L28" s="1190"/>
      <c r="M28" s="1190"/>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c r="AL28" s="1190"/>
      <c r="AM28" s="1191"/>
    </row>
    <row r="29" spans="6:39" ht="15.95" customHeight="1">
      <c r="F29" s="1189"/>
      <c r="G29" s="1190"/>
      <c r="H29" s="1190"/>
      <c r="I29" s="1190"/>
      <c r="J29" s="1190"/>
      <c r="K29" s="1190"/>
      <c r="L29" s="1190"/>
      <c r="M29" s="1190"/>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c r="AL29" s="1190"/>
      <c r="AM29" s="1191"/>
    </row>
    <row r="30" spans="6:39" ht="15.95" customHeight="1">
      <c r="F30" s="1189"/>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1"/>
    </row>
    <row r="31" spans="6:39" ht="15.95" customHeight="1">
      <c r="F31" s="1189"/>
      <c r="G31" s="1190"/>
      <c r="H31" s="1190"/>
      <c r="I31" s="1190"/>
      <c r="J31" s="1190"/>
      <c r="K31" s="1190"/>
      <c r="L31" s="1190"/>
      <c r="M31" s="1190"/>
      <c r="N31" s="1190"/>
      <c r="O31" s="1190"/>
      <c r="P31" s="1190"/>
      <c r="Q31" s="1190"/>
      <c r="R31" s="1190"/>
      <c r="S31" s="1190"/>
      <c r="T31" s="1190"/>
      <c r="U31" s="1190"/>
      <c r="V31" s="1190"/>
      <c r="W31" s="1190"/>
      <c r="X31" s="1190"/>
      <c r="Y31" s="1190"/>
      <c r="Z31" s="1190"/>
      <c r="AA31" s="1190"/>
      <c r="AB31" s="1190"/>
      <c r="AC31" s="1190"/>
      <c r="AD31" s="1190"/>
      <c r="AE31" s="1190"/>
      <c r="AF31" s="1190"/>
      <c r="AG31" s="1190"/>
      <c r="AH31" s="1190"/>
      <c r="AI31" s="1190"/>
      <c r="AJ31" s="1190"/>
      <c r="AK31" s="1190"/>
      <c r="AL31" s="1190"/>
      <c r="AM31" s="1191"/>
    </row>
    <row r="32" spans="6:39" ht="15.95" customHeight="1" thickBot="1">
      <c r="F32" s="1192"/>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4"/>
    </row>
    <row r="33" ht="15.95"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ULHdgZapMpNN+y9jJ0KrYVEZUIt7LmRhZlWzepEU8EMZ2yuAHjHnyBpNSGDhDL7yTiu5JvR06OEu1Smdp9DITw==" saltValue="Aqg3DvlhTRTJ4LQ48OlqTQ==" spinCount="100000" sheet="1" objects="1" scenarios="1" selectLockedCells="1"/>
  <mergeCells count="44">
    <mergeCell ref="A5:E6"/>
    <mergeCell ref="AQ5:AU6"/>
    <mergeCell ref="A7:E7"/>
    <mergeCell ref="AQ7:AU7"/>
    <mergeCell ref="AT1:AW3"/>
    <mergeCell ref="F1:I3"/>
    <mergeCell ref="J1:M3"/>
    <mergeCell ref="O1:AE3"/>
    <mergeCell ref="AL1:AO3"/>
    <mergeCell ref="AP1:AS3"/>
    <mergeCell ref="AH17:AM17"/>
    <mergeCell ref="V15:AB15"/>
    <mergeCell ref="V13:AB13"/>
    <mergeCell ref="A8:E8"/>
    <mergeCell ref="AQ8:AU8"/>
    <mergeCell ref="Q13:U13"/>
    <mergeCell ref="F17:K17"/>
    <mergeCell ref="M17:R17"/>
    <mergeCell ref="T17:Y17"/>
    <mergeCell ref="AA17:AF17"/>
    <mergeCell ref="A9:AW10"/>
    <mergeCell ref="F11:AP12"/>
    <mergeCell ref="T18:Y18"/>
    <mergeCell ref="AA18:AF18"/>
    <mergeCell ref="AH18:AM18"/>
    <mergeCell ref="F20:K20"/>
    <mergeCell ref="M20:R20"/>
    <mergeCell ref="T20:Y20"/>
    <mergeCell ref="AA20:AF20"/>
    <mergeCell ref="AH20:AM20"/>
    <mergeCell ref="F18:K18"/>
    <mergeCell ref="M18:R18"/>
    <mergeCell ref="F27:AM32"/>
    <mergeCell ref="M200:AG201"/>
    <mergeCell ref="F21:K21"/>
    <mergeCell ref="M21:R21"/>
    <mergeCell ref="T21:Y21"/>
    <mergeCell ref="AA21:AF21"/>
    <mergeCell ref="AH21:AM21"/>
    <mergeCell ref="G23:Y24"/>
    <mergeCell ref="AA23:AF23"/>
    <mergeCell ref="AH23:AM23"/>
    <mergeCell ref="AA24:AF24"/>
    <mergeCell ref="AJ24:AM24"/>
  </mergeCells>
  <conditionalFormatting sqref="AE14:AM15 T15:AB15">
    <cfRule type="expression" dxfId="42" priority="1">
      <formula>IF(N05S01F01&lt;&gt;"Trade Ally or Contractor (Check)",TRUE, FALSE)</formula>
    </cfRule>
  </conditionalFormatting>
  <conditionalFormatting sqref="AH20:AM21">
    <cfRule type="expression" dxfId="41" priority="3">
      <formula>N05S01F01&lt;&gt;"Site (Bill Credit)"</formula>
    </cfRule>
  </conditionalFormatting>
  <conditionalFormatting sqref="AQ8:AW8">
    <cfRule type="expression" dxfId="40" priority="1722">
      <formula>IF($AQ$8=PROJSTATMEASURE,FALSE,TRUE)</formula>
    </cfRule>
  </conditionalFormatting>
  <dataValidations count="9">
    <dataValidation type="textLength" operator="lessThanOrEqual" allowBlank="1" showInputMessage="1" showErrorMessage="1" sqref="AH21:AM21" xr:uid="{44A4A935-4248-41C0-8400-D473C15C59BA}">
      <formula1>10</formula1>
    </dataValidation>
    <dataValidation type="textLength" allowBlank="1" showInputMessage="1" showErrorMessage="1" sqref="T21:Y21" xr:uid="{8D681AF9-8950-4ADD-A768-D7CA1B8D5ECC}">
      <formula1>7</formula1>
      <formula2>15</formula2>
    </dataValidation>
    <dataValidation type="custom" allowBlank="1" showInputMessage="1" showErrorMessage="1" error="Please enter a valid email address." sqref="AA21:AF21" xr:uid="{389FF707-E4B3-457F-B599-19898F752E47}">
      <formula1>AND(FIND(".",AA21),FIND("@",AA21))</formula1>
    </dataValidation>
    <dataValidation type="list" allowBlank="1" showInputMessage="1" showErrorMessage="1" sqref="AA18:AF18" xr:uid="{F8CB64A2-2DE7-48FD-9F32-BAAA26F2FE82}">
      <formula1>STATESABBREV</formula1>
    </dataValidation>
    <dataValidation type="textLength" operator="equal" allowBlank="1" showInputMessage="1" showErrorMessage="1" error="Please enter only the last 7 digits of the Tax ID" prompt="Please enter only the last 7 digits of the Tax ID" sqref="AJ24:AM24" xr:uid="{92E9CAFA-4E45-4503-B546-A067929AF03C}">
      <formula1>7</formula1>
    </dataValidation>
    <dataValidation type="textLength" operator="equal" allowBlank="1" showInputMessage="1" showErrorMessage="1" prompt="Please enter only the first 2 digits of the Tax ID" sqref="AH24" xr:uid="{48BC6AFC-B68A-41CE-9152-680861175621}">
      <formula1>2</formula1>
    </dataValidation>
    <dataValidation type="list" allowBlank="1" showInputMessage="1" showErrorMessage="1" sqref="AA24:AF24" xr:uid="{85B07F11-F4D0-496E-B0B5-A875DBDA1B00}">
      <formula1>TAXLIST</formula1>
    </dataValidation>
    <dataValidation type="list" allowBlank="1" showInputMessage="1" showErrorMessage="1" sqref="AG14:AG15 V15" xr:uid="{92ABE84D-2D80-46F1-98A0-82EDC16159FC}">
      <formula1>DESIGNTEAMLIST</formula1>
    </dataValidation>
    <dataValidation type="list" allowBlank="1" showInputMessage="1" showErrorMessage="1" sqref="V13 U15 S14" xr:uid="{F74E3424-DC11-4A00-8402-206C6D6F9375}">
      <formula1>PAYMENTLIST_N</formula1>
    </dataValidation>
  </dataValidations>
  <hyperlinks>
    <hyperlink ref="B202" r:id="rId1" display="businessrebates@evergy.com" xr:uid="{61570325-DE03-41F6-848B-47357003C808}"/>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8545" r:id="rId5" name="N05S01TB1">
              <controlPr defaultSize="0" autoFill="0" autoLine="0" autoPict="0">
                <anchor moveWithCells="1">
                  <from>
                    <xdr:col>4</xdr:col>
                    <xdr:colOff>295275</xdr:colOff>
                    <xdr:row>21</xdr:row>
                    <xdr:rowOff>171450</xdr:rowOff>
                  </from>
                  <to>
                    <xdr:col>5</xdr:col>
                    <xdr:colOff>190500</xdr:colOff>
                    <xdr:row>24</xdr:row>
                    <xdr:rowOff>38100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49FE8-C4C6-478C-92EA-1DD74C8BA137}">
  <sheetPr codeName="Sheet74">
    <tabColor theme="9" tint="0.59999389629810485"/>
    <pageSetUpPr fitToPage="1"/>
  </sheetPr>
  <dimension ref="A1:BJ203"/>
  <sheetViews>
    <sheetView showGridLines="0" showRowColHeaders="0" zoomScale="85" zoomScaleNormal="85" workbookViewId="0">
      <selection activeCell="H6" sqref="H6"/>
    </sheetView>
  </sheetViews>
  <sheetFormatPr defaultColWidth="0" defaultRowHeight="0" customHeight="1" zeroHeight="1"/>
  <cols>
    <col min="1" max="49" width="4.7109375" customWidth="1"/>
    <col min="50" max="16384" width="4.710937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B4" s="199"/>
      <c r="C4" s="199"/>
      <c r="D4" s="199"/>
      <c r="E4" s="199"/>
    </row>
    <row r="5" spans="1:49" ht="15.95" customHeight="1">
      <c r="A5" s="667">
        <f>INCENTOTAL_N</f>
        <v>0</v>
      </c>
      <c r="B5" s="667"/>
      <c r="C5" s="667"/>
      <c r="D5" s="667"/>
      <c r="E5" s="667"/>
      <c r="AQ5" s="668">
        <f ca="1">PROGRESSSTATUS_N</f>
        <v>0</v>
      </c>
      <c r="AR5" s="668"/>
      <c r="AS5" s="668"/>
      <c r="AT5" s="668"/>
      <c r="AU5" s="668"/>
      <c r="AV5" s="557"/>
      <c r="AW5" s="557"/>
    </row>
    <row r="6" spans="1:49" ht="15.95" customHeight="1">
      <c r="A6" s="667"/>
      <c r="B6" s="667"/>
      <c r="C6" s="667"/>
      <c r="D6" s="667"/>
      <c r="E6" s="667"/>
      <c r="AQ6" s="668"/>
      <c r="AR6" s="668"/>
      <c r="AS6" s="668"/>
      <c r="AT6" s="668"/>
      <c r="AU6" s="668"/>
      <c r="AV6" s="557"/>
      <c r="AW6" s="557"/>
    </row>
    <row r="7" spans="1:49" ht="15.95" customHeight="1">
      <c r="A7" s="665" t="s">
        <v>20</v>
      </c>
      <c r="B7" s="665"/>
      <c r="C7" s="665"/>
      <c r="D7" s="665"/>
      <c r="E7" s="665"/>
      <c r="AQ7" s="665" t="s">
        <v>179</v>
      </c>
      <c r="AR7" s="665"/>
      <c r="AS7" s="665"/>
      <c r="AT7" s="665"/>
      <c r="AU7" s="665"/>
      <c r="AV7" s="556"/>
      <c r="AW7" s="556"/>
    </row>
    <row r="8" spans="1:49" ht="15.95" customHeight="1" thickBot="1">
      <c r="A8" s="665"/>
      <c r="B8" s="665"/>
      <c r="C8" s="665"/>
      <c r="D8" s="665"/>
      <c r="E8" s="665"/>
      <c r="AQ8" s="674" t="str">
        <f ca="1">PROJSTATUS_N</f>
        <v>Enter Measures</v>
      </c>
      <c r="AR8" s="674"/>
      <c r="AS8" s="674"/>
      <c r="AT8" s="674"/>
      <c r="AU8" s="674"/>
      <c r="AV8" s="558"/>
      <c r="AW8" s="558"/>
    </row>
    <row r="9" spans="1:49" ht="15.95" customHeight="1">
      <c r="A9" s="636" t="str">
        <f>N5S2</f>
        <v>Project Review</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49" ht="15.95" customHeight="1">
      <c r="F11" s="711" t="s">
        <v>1354</v>
      </c>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218"/>
      <c r="AM11" s="218"/>
      <c r="AN11" s="218"/>
    </row>
    <row r="12" spans="1:49" ht="15.95" customHeight="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1"/>
      <c r="AJ12" s="711"/>
      <c r="AK12" s="711"/>
      <c r="AL12" s="218"/>
      <c r="AM12" s="218"/>
      <c r="AN12" s="218"/>
      <c r="AO12" s="21"/>
    </row>
    <row r="13" spans="1:49" ht="15.95" customHeight="1">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1"/>
    </row>
    <row r="14" spans="1:49" ht="15.95" customHeight="1">
      <c r="F14" s="1242" t="str">
        <f>N2S1</f>
        <v>Terms &amp; Conditions</v>
      </c>
      <c r="G14" s="1243"/>
      <c r="H14" s="1243"/>
      <c r="I14" s="1243"/>
      <c r="J14" s="1243"/>
      <c r="K14" s="1243"/>
      <c r="L14" s="1243"/>
      <c r="M14" s="1243"/>
      <c r="N14" s="1243"/>
      <c r="O14" s="1243"/>
      <c r="P14" s="1238" t="str">
        <f ca="1">IF(COMPTERMS_N&lt;&gt;1,"Incomplete","")</f>
        <v>Incomplete</v>
      </c>
      <c r="Q14" s="1238"/>
      <c r="R14" s="1238"/>
      <c r="S14" s="1238"/>
      <c r="T14" s="1238"/>
      <c r="U14" s="1238"/>
      <c r="V14" s="1238"/>
      <c r="W14" s="1244" t="s">
        <v>795</v>
      </c>
      <c r="X14" s="1244"/>
      <c r="Y14" s="1245"/>
      <c r="Z14" s="278"/>
      <c r="AO14" s="21"/>
    </row>
    <row r="15" spans="1:49" ht="15.95" customHeight="1">
      <c r="F15" s="1201" t="str">
        <f ca="1">IF(COMPTERMS_N&lt;&gt;1,"Missing Signature Info",N02S01F01)</f>
        <v>Missing Signature Info</v>
      </c>
      <c r="G15" s="639"/>
      <c r="H15" s="639"/>
      <c r="I15" s="639"/>
      <c r="J15" s="639"/>
      <c r="K15" s="639"/>
      <c r="L15" s="639"/>
      <c r="M15" s="639"/>
      <c r="N15" s="639"/>
      <c r="O15" s="639" t="str">
        <f ca="1">IF(COMPTERMS_N&lt;&gt;1,"",N02S01F02)</f>
        <v/>
      </c>
      <c r="P15" s="639"/>
      <c r="Q15" s="639"/>
      <c r="R15" s="639"/>
      <c r="S15" s="639"/>
      <c r="T15" s="639"/>
      <c r="U15" s="639"/>
      <c r="V15" s="639"/>
      <c r="W15" s="1246" t="str">
        <f ca="1">IF(COMPTERMS_N&lt;&gt;1,"",N02S01F03)</f>
        <v/>
      </c>
      <c r="X15" s="1246"/>
      <c r="Y15" s="1247"/>
      <c r="Z15" s="278"/>
      <c r="AO15" s="21"/>
    </row>
    <row r="16" spans="1:49" ht="15.95" customHeight="1">
      <c r="F16" s="1206" t="str">
        <f>N2S2</f>
        <v>Design Team Information</v>
      </c>
      <c r="G16" s="1207"/>
      <c r="H16" s="1207"/>
      <c r="I16" s="1207"/>
      <c r="J16" s="1207"/>
      <c r="K16" s="1207"/>
      <c r="L16" s="1207"/>
      <c r="M16" s="1207"/>
      <c r="N16" s="1207"/>
      <c r="O16" s="1207"/>
      <c r="P16" s="1208" t="str">
        <f ca="1">IF(COMPTA_N&lt;&gt;1,"Incomplete","")</f>
        <v>Incomplete</v>
      </c>
      <c r="Q16" s="1208"/>
      <c r="R16" s="1208"/>
      <c r="S16" s="1208"/>
      <c r="T16" s="1208"/>
      <c r="U16" s="1208"/>
      <c r="V16" s="1208"/>
      <c r="W16" s="1209" t="s">
        <v>795</v>
      </c>
      <c r="X16" s="1209"/>
      <c r="Y16" s="1210"/>
      <c r="Z16" s="278"/>
      <c r="AA16" s="1236" t="s">
        <v>1207</v>
      </c>
      <c r="AB16" s="1237"/>
      <c r="AC16" s="1237"/>
      <c r="AD16" s="1237"/>
      <c r="AE16" s="1237"/>
      <c r="AF16" s="1237"/>
      <c r="AG16" s="1237"/>
      <c r="AH16" s="1237"/>
      <c r="AI16" s="1237"/>
      <c r="AJ16" s="1237"/>
      <c r="AK16" s="1237"/>
      <c r="AL16" s="1238" t="str">
        <f>IF(COMPMEASURE_N&lt;&gt;1,"Incomplete","")</f>
        <v/>
      </c>
      <c r="AM16" s="1238"/>
      <c r="AN16" s="1239"/>
      <c r="AO16" s="21"/>
    </row>
    <row r="17" spans="6:62" ht="15.95" customHeight="1">
      <c r="F17" s="1201" t="str">
        <f>IF(N02S02F01="","Missing Company Name",N02S02F01)</f>
        <v>Missing Company Name</v>
      </c>
      <c r="G17" s="639"/>
      <c r="H17" s="639"/>
      <c r="I17" s="639"/>
      <c r="J17" s="639"/>
      <c r="K17" s="639"/>
      <c r="L17" s="639"/>
      <c r="M17" s="639"/>
      <c r="N17" s="639"/>
      <c r="O17" s="639"/>
      <c r="P17" s="639" t="str">
        <f>IF(OR(N02S02F06="",N02S02F07="",N02S02F08="",N02S02F09="",N02S02F10=""),"Missing Contact Info",N02S02F06&amp;" "&amp;N02S02F07)</f>
        <v>Missing Contact Info</v>
      </c>
      <c r="Q17" s="639"/>
      <c r="R17" s="639"/>
      <c r="S17" s="639"/>
      <c r="T17" s="639"/>
      <c r="U17" s="639"/>
      <c r="V17" s="639"/>
      <c r="W17" s="639"/>
      <c r="X17" s="639"/>
      <c r="Y17" s="1202"/>
      <c r="Z17" s="21"/>
      <c r="AA17" s="1224" t="s">
        <v>1747</v>
      </c>
      <c r="AB17" s="1225"/>
      <c r="AC17" s="1225"/>
      <c r="AD17" s="1225"/>
      <c r="AE17" s="1225"/>
      <c r="AF17" s="1225"/>
      <c r="AG17" s="1225"/>
      <c r="AH17" s="1225"/>
      <c r="AI17" s="1225"/>
      <c r="AJ17" s="1225"/>
      <c r="AK17" s="1225"/>
      <c r="AL17" s="1225"/>
      <c r="AM17" s="1225"/>
      <c r="AN17" s="1226"/>
    </row>
    <row r="18" spans="6:62" ht="15.95" customHeight="1">
      <c r="F18" s="1201" t="str">
        <f>IF(OR(N02S02F02="",N02S02F03="",N02S02F04="",N02S02F05=""),"Missing Address Info",N02S02F02)</f>
        <v>Missing Address Info</v>
      </c>
      <c r="G18" s="639"/>
      <c r="H18" s="639"/>
      <c r="I18" s="639"/>
      <c r="J18" s="639"/>
      <c r="K18" s="639"/>
      <c r="L18" s="639"/>
      <c r="M18" s="639"/>
      <c r="N18" s="639"/>
      <c r="O18" s="639"/>
      <c r="P18" s="639" t="str">
        <f>IF(OR(N02S02F06="",N02S02F07="",N02S02F08="",N02S02F09="",N02S02F10=""),"",N02S02F08)</f>
        <v/>
      </c>
      <c r="Q18" s="639"/>
      <c r="R18" s="639"/>
      <c r="S18" s="639"/>
      <c r="T18" s="639"/>
      <c r="U18" s="1205" t="str">
        <f>IF(OR(N02S02F06="",N02S02F07="",N02S02F08="",N02S02F09="",N02S02F10=""),"",N02S02F09)</f>
        <v/>
      </c>
      <c r="V18" s="1205"/>
      <c r="W18" s="1205"/>
      <c r="X18" s="1205"/>
      <c r="Y18" s="1211"/>
      <c r="Z18" s="21"/>
      <c r="AA18" s="1233" t="s">
        <v>1470</v>
      </c>
      <c r="AB18" s="1234"/>
      <c r="AC18" s="1234"/>
      <c r="AD18" s="1234"/>
      <c r="AE18" s="1234"/>
      <c r="AF18" s="1234"/>
      <c r="AG18" s="1234"/>
      <c r="AH18" s="1235" t="s">
        <v>1072</v>
      </c>
      <c r="AI18" s="1235"/>
      <c r="AJ18" s="1235"/>
      <c r="AK18" s="1240" t="s">
        <v>1208</v>
      </c>
      <c r="AL18" s="1240"/>
      <c r="AM18" s="1240"/>
      <c r="AN18" s="1241"/>
      <c r="AV18" s="21"/>
      <c r="AW18" s="21"/>
      <c r="AX18" s="21"/>
      <c r="BH18" s="21"/>
      <c r="BI18" s="21"/>
      <c r="BJ18" s="21"/>
    </row>
    <row r="19" spans="6:62" ht="15.95" customHeight="1">
      <c r="F19" s="1201" t="str">
        <f>IF(OR(N02S02F02="",N02S02F03="",N02S02F04="",N02S02F05=""),"",N02S02F03)</f>
        <v/>
      </c>
      <c r="G19" s="639"/>
      <c r="H19" s="639"/>
      <c r="I19" s="639"/>
      <c r="J19" s="639"/>
      <c r="K19" s="639" t="str">
        <f>IF(OR(N02S02F02="",N02S02F03="",N02S02F04="",N02S02F05=""),"",N02S02F04)</f>
        <v/>
      </c>
      <c r="L19" s="639"/>
      <c r="M19" s="639" t="str">
        <f>IF(OR(N02S02F02="",N02S02F03="",N02S02F04="",N02S02F05=""),"",N02S02F05)</f>
        <v/>
      </c>
      <c r="N19" s="639"/>
      <c r="O19" s="639"/>
      <c r="P19" s="639" t="str">
        <f>IF(OR(N02S02F06="",N02S02F07="",N02S02F08="",N02S02F09="",N02S02F10=""),"",N02S02F10)</f>
        <v/>
      </c>
      <c r="Q19" s="639"/>
      <c r="R19" s="639"/>
      <c r="S19" s="639"/>
      <c r="T19" s="639"/>
      <c r="U19" s="639"/>
      <c r="V19" s="639"/>
      <c r="W19" s="639"/>
      <c r="X19" s="639"/>
      <c r="Y19" s="1202"/>
      <c r="Z19" s="21"/>
      <c r="AA19" s="1216" t="str">
        <f>N4S1</f>
        <v>HVAC</v>
      </c>
      <c r="AB19" s="1217"/>
      <c r="AC19" s="1217"/>
      <c r="AD19" s="1217"/>
      <c r="AE19" s="1217"/>
      <c r="AF19" s="1217"/>
      <c r="AG19" s="1217"/>
      <c r="AH19" s="1218">
        <f>COUNT('N04-S01'!$AK$18:$AM$199)</f>
        <v>0</v>
      </c>
      <c r="AI19" s="1218">
        <f>COUNT('N04-S01'!$AK$18:$AM$199)</f>
        <v>0</v>
      </c>
      <c r="AJ19" s="1218">
        <f>COUNT('N04-S01'!$AK$18:$AM$199)</f>
        <v>0</v>
      </c>
      <c r="AK19" s="1219">
        <f>SUM('N04-S01'!$AN$18:$AQ$199)</f>
        <v>0</v>
      </c>
      <c r="AL19" s="1219">
        <f>SUM('N04-S01'!$AN$18:$AQ$199)</f>
        <v>0</v>
      </c>
      <c r="AM19" s="1219">
        <f>SUM('N04-S01'!$AN$18:$AQ$199)</f>
        <v>0</v>
      </c>
      <c r="AN19" s="1220">
        <f>SUM('N04-S01'!$AN$18:$AQ$199)</f>
        <v>0</v>
      </c>
    </row>
    <row r="20" spans="6:62" ht="15.95" customHeight="1">
      <c r="F20" s="1206" t="str">
        <f>N2S3</f>
        <v>Customer &amp; Building Information</v>
      </c>
      <c r="G20" s="1207"/>
      <c r="H20" s="1207"/>
      <c r="I20" s="1207"/>
      <c r="J20" s="1207"/>
      <c r="K20" s="1207"/>
      <c r="L20" s="1207"/>
      <c r="M20" s="1207"/>
      <c r="N20" s="1207"/>
      <c r="O20" s="1207"/>
      <c r="P20" s="1208" t="str">
        <f ca="1">IF(COMPBUILD_N&lt;&gt;1,"Incomplete","")</f>
        <v>Incomplete</v>
      </c>
      <c r="Q20" s="1208"/>
      <c r="R20" s="1208"/>
      <c r="S20" s="1208"/>
      <c r="T20" s="1208"/>
      <c r="U20" s="1208"/>
      <c r="V20" s="1208"/>
      <c r="W20" s="1209" t="s">
        <v>795</v>
      </c>
      <c r="X20" s="1209"/>
      <c r="Y20" s="1210"/>
      <c r="Z20" s="21"/>
      <c r="AA20" s="1216" t="str">
        <f>N4S2</f>
        <v>Motors and Drives</v>
      </c>
      <c r="AB20" s="1217"/>
      <c r="AC20" s="1217"/>
      <c r="AD20" s="1217"/>
      <c r="AE20" s="1217"/>
      <c r="AF20" s="1217"/>
      <c r="AG20" s="1217"/>
      <c r="AH20" s="1218">
        <f>COUNT('N04-S02'!$AK$18:$AM$199)</f>
        <v>0</v>
      </c>
      <c r="AI20" s="1218">
        <f>COUNT('N04-S02'!$AK$18:$AM$199)</f>
        <v>0</v>
      </c>
      <c r="AJ20" s="1218">
        <f>COUNT('N04-S02'!$AK$18:$AM$199)</f>
        <v>0</v>
      </c>
      <c r="AK20" s="1219">
        <f>SUM('N04-S02'!$AN$18:$AQ$199)</f>
        <v>0</v>
      </c>
      <c r="AL20" s="1219">
        <f>SUM('N04-S02'!$AN$18:$AQ$199)</f>
        <v>0</v>
      </c>
      <c r="AM20" s="1219">
        <f>SUM('N04-S02'!$AN$18:$AQ$199)</f>
        <v>0</v>
      </c>
      <c r="AN20" s="1220">
        <f>SUM('N04-S02'!$AN$18:$AQ$199)</f>
        <v>0</v>
      </c>
    </row>
    <row r="21" spans="6:62" ht="15.95" customHeight="1">
      <c r="F21" s="1221" t="s">
        <v>1749</v>
      </c>
      <c r="G21" s="1222"/>
      <c r="H21" s="1222"/>
      <c r="I21" s="1222"/>
      <c r="J21" s="1222"/>
      <c r="K21" s="1222"/>
      <c r="L21" s="1222"/>
      <c r="M21" s="1222"/>
      <c r="N21" s="1222"/>
      <c r="O21" s="1222"/>
      <c r="P21" s="1222"/>
      <c r="Q21" s="1222"/>
      <c r="R21" s="1222"/>
      <c r="S21" s="1222"/>
      <c r="T21" s="1222"/>
      <c r="U21" s="1222"/>
      <c r="V21" s="1222"/>
      <c r="W21" s="1222"/>
      <c r="X21" s="1222"/>
      <c r="Y21" s="1223"/>
      <c r="Z21" s="43"/>
      <c r="AA21" s="1216" t="str">
        <f>N4S3</f>
        <v>Compressed Air / Process</v>
      </c>
      <c r="AB21" s="1217"/>
      <c r="AC21" s="1217"/>
      <c r="AD21" s="1217"/>
      <c r="AE21" s="1217"/>
      <c r="AF21" s="1217"/>
      <c r="AG21" s="1217"/>
      <c r="AH21" s="1218">
        <f>COUNT('N04-S03'!$AK$18:$AM$199)</f>
        <v>0</v>
      </c>
      <c r="AI21" s="1218">
        <f>COUNT('N04-S03'!$AK$18:$AM$199)</f>
        <v>0</v>
      </c>
      <c r="AJ21" s="1218">
        <f>COUNT('N04-S03'!$AK$18:$AM$199)</f>
        <v>0</v>
      </c>
      <c r="AK21" s="1219">
        <f>SUM('N04-S03'!$AN$18:$AQ$199)</f>
        <v>0</v>
      </c>
      <c r="AL21" s="1219">
        <f>SUM('N04-S03'!$AN$18:$AQ$199)</f>
        <v>0</v>
      </c>
      <c r="AM21" s="1219">
        <f>SUM('N04-S03'!$AN$18:$AQ$199)</f>
        <v>0</v>
      </c>
      <c r="AN21" s="1220">
        <f>SUM('N04-S03'!$AN$18:$AQ$199)</f>
        <v>0</v>
      </c>
    </row>
    <row r="22" spans="6:62" ht="15.95" customHeight="1">
      <c r="F22" s="1201" t="str">
        <f>IF(N02S03F01="","Missing Site Name",N02S03F01)</f>
        <v>Missing Site Name</v>
      </c>
      <c r="G22" s="639"/>
      <c r="H22" s="639"/>
      <c r="I22" s="639"/>
      <c r="J22" s="639"/>
      <c r="K22" s="639"/>
      <c r="L22" s="639"/>
      <c r="M22" s="639"/>
      <c r="N22" s="639"/>
      <c r="O22" s="639"/>
      <c r="P22" s="639" t="str">
        <f>IF(OR(N02S03F06="",N02S03F07="",N02S03F08="",N02S03F09="",N02S03F10=""),"Missing Contact Info",N02S03F06&amp;" "&amp;N02S03F07)</f>
        <v>Missing Contact Info</v>
      </c>
      <c r="Q22" s="639"/>
      <c r="R22" s="639"/>
      <c r="S22" s="639"/>
      <c r="T22" s="639"/>
      <c r="U22" s="639"/>
      <c r="V22" s="639"/>
      <c r="W22" s="639"/>
      <c r="X22" s="639"/>
      <c r="Y22" s="1202"/>
      <c r="Z22" s="21"/>
      <c r="AA22" s="1216" t="str">
        <f>N4S4</f>
        <v>Refrigeration</v>
      </c>
      <c r="AB22" s="1217"/>
      <c r="AC22" s="1217"/>
      <c r="AD22" s="1217"/>
      <c r="AE22" s="1217"/>
      <c r="AF22" s="1217"/>
      <c r="AG22" s="1217"/>
      <c r="AH22" s="1218">
        <f>COUNT('N04-S04'!$AK$18:$AM$199)</f>
        <v>0</v>
      </c>
      <c r="AI22" s="1218">
        <f>COUNT('N04-S04'!$AK$18:$AM$199)</f>
        <v>0</v>
      </c>
      <c r="AJ22" s="1218">
        <f>COUNT('N04-S04'!$AK$18:$AM$199)</f>
        <v>0</v>
      </c>
      <c r="AK22" s="1219">
        <f>SUM('N04-S04'!$AN$18:$AQ$199)</f>
        <v>0</v>
      </c>
      <c r="AL22" s="1219">
        <f>SUM('N04-S04'!$AN$18:$AQ$199)</f>
        <v>0</v>
      </c>
      <c r="AM22" s="1219">
        <f>SUM('N04-S04'!$AN$18:$AQ$199)</f>
        <v>0</v>
      </c>
      <c r="AN22" s="1220">
        <f>SUM('N04-S04'!$AN$18:$AQ$199)</f>
        <v>0</v>
      </c>
    </row>
    <row r="23" spans="6:62" ht="15.95" customHeight="1">
      <c r="F23" s="1201" t="str">
        <f>IF(OR(N02S03F02="",N02S03F03="",N02S03F04="",N02S03F05=""),"Missing Address Info",N02S03F02)</f>
        <v>Missing Address Info</v>
      </c>
      <c r="G23" s="639"/>
      <c r="H23" s="639"/>
      <c r="I23" s="639"/>
      <c r="J23" s="639"/>
      <c r="K23" s="639"/>
      <c r="L23" s="639"/>
      <c r="M23" s="639"/>
      <c r="N23" s="639"/>
      <c r="O23" s="639"/>
      <c r="P23" s="639" t="str">
        <f>IF(OR(N02S03F06="",N02S03F07="",N02S03F08="",N02S03F09="",N02S03F10=""),"",N02S03F08)</f>
        <v/>
      </c>
      <c r="Q23" s="639"/>
      <c r="R23" s="639"/>
      <c r="S23" s="639"/>
      <c r="T23" s="639"/>
      <c r="U23" s="1205" t="str">
        <f>IF(OR(N02S03F06="",N02S03F07="",N02S03F08="",N02S03F09="",N02S03F10=""),"",N02S03F09)</f>
        <v/>
      </c>
      <c r="V23" s="1205"/>
      <c r="W23" s="1205"/>
      <c r="X23" s="1205"/>
      <c r="Y23" s="1211"/>
      <c r="Z23" s="21"/>
      <c r="AA23" s="1216" t="str">
        <f>N4S5</f>
        <v>Water Heating / Food Services</v>
      </c>
      <c r="AB23" s="1217"/>
      <c r="AC23" s="1217"/>
      <c r="AD23" s="1217"/>
      <c r="AE23" s="1217"/>
      <c r="AF23" s="1217"/>
      <c r="AG23" s="1217"/>
      <c r="AH23" s="1218">
        <f>COUNT('N04-S05'!$AK$18:$AM$199)</f>
        <v>0</v>
      </c>
      <c r="AI23" s="1218">
        <f>COUNT('N04-S05'!$AK$18:$AM$199)</f>
        <v>0</v>
      </c>
      <c r="AJ23" s="1218">
        <f>COUNT('N04-S05'!$AK$18:$AM$199)</f>
        <v>0</v>
      </c>
      <c r="AK23" s="1219">
        <f>SUM('N04-S05'!$AN$18:$AQ$199)</f>
        <v>0</v>
      </c>
      <c r="AL23" s="1219">
        <f>SUM('N04-S05'!$AN$18:$AQ$199)</f>
        <v>0</v>
      </c>
      <c r="AM23" s="1219">
        <f>SUM('N04-S05'!$AN$18:$AQ$199)</f>
        <v>0</v>
      </c>
      <c r="AN23" s="1220">
        <f>SUM('N04-S05'!$AN$18:$AQ$199)</f>
        <v>0</v>
      </c>
    </row>
    <row r="24" spans="6:62" ht="15.95" customHeight="1">
      <c r="F24" s="1201" t="str">
        <f>IF(OR(N02S03F02="",N02S03F03="",N02S03F04="",N02S03F05=""),"",N02S03F03)</f>
        <v/>
      </c>
      <c r="G24" s="639"/>
      <c r="H24" s="639"/>
      <c r="I24" s="639"/>
      <c r="J24" s="639"/>
      <c r="K24" s="639" t="str">
        <f>IF(OR(N02S03F02="",N02S03F03="",N02S03F04="",N02S03F05=""),"",N02S03F04)</f>
        <v/>
      </c>
      <c r="L24" s="639"/>
      <c r="M24" s="639" t="str">
        <f>IF(OR(N02S03F02="",N02S03F03="",N02S03F04="",N02S03F05=""),"",N02S03F05)</f>
        <v/>
      </c>
      <c r="N24" s="639"/>
      <c r="O24" s="639"/>
      <c r="P24" s="639" t="str">
        <f>IF(OR(N02S03F06="",N02S03F07="",N02S03F08="",N02S03F09="",N02S03F10=""),"",N02S03F10)</f>
        <v/>
      </c>
      <c r="Q24" s="639"/>
      <c r="R24" s="639"/>
      <c r="S24" s="639"/>
      <c r="T24" s="639"/>
      <c r="U24" s="639"/>
      <c r="V24" s="639"/>
      <c r="W24" s="639"/>
      <c r="X24" s="639"/>
      <c r="Y24" s="1202"/>
      <c r="Z24" s="21"/>
      <c r="AA24" s="1227" t="str">
        <f>N4S6</f>
        <v>Miscellaneous</v>
      </c>
      <c r="AB24" s="1228"/>
      <c r="AC24" s="1228"/>
      <c r="AD24" s="1228"/>
      <c r="AE24" s="1228"/>
      <c r="AF24" s="1228"/>
      <c r="AG24" s="1228"/>
      <c r="AH24" s="1229">
        <f>COUNT('N04-S06'!$AK$18:$AM$199)</f>
        <v>0</v>
      </c>
      <c r="AI24" s="1229">
        <f>COUNT('N04-S06'!$AK$18:$AM$199)</f>
        <v>0</v>
      </c>
      <c r="AJ24" s="1229">
        <f>COUNT('N04-S06'!$AK$18:$AM$199)</f>
        <v>0</v>
      </c>
      <c r="AK24" s="1230">
        <f>SUM('N04-S06'!$AN$18:$AQ$199)</f>
        <v>0</v>
      </c>
      <c r="AL24" s="1230">
        <f>SUM('N04-S06'!$AN$18:$AQ$199)</f>
        <v>0</v>
      </c>
      <c r="AM24" s="1230">
        <f>SUM('N04-S06'!$AN$18:$AQ$199)</f>
        <v>0</v>
      </c>
      <c r="AN24" s="1231">
        <f>SUM('N04-S06'!$AN$18:$AQ$199)</f>
        <v>0</v>
      </c>
    </row>
    <row r="25" spans="6:62" ht="15.95" customHeight="1">
      <c r="F25" s="1221" t="s">
        <v>769</v>
      </c>
      <c r="G25" s="1222"/>
      <c r="H25" s="1222"/>
      <c r="I25" s="1222"/>
      <c r="J25" s="1222"/>
      <c r="K25" s="1222"/>
      <c r="L25" s="1222"/>
      <c r="M25" s="1222"/>
      <c r="N25" s="1222"/>
      <c r="O25" s="1222"/>
      <c r="P25" s="1222"/>
      <c r="Q25" s="1222"/>
      <c r="R25" s="1222"/>
      <c r="S25" s="1222"/>
      <c r="T25" s="1222"/>
      <c r="U25" s="1222"/>
      <c r="V25" s="1222"/>
      <c r="W25" s="1222"/>
      <c r="X25" s="1222"/>
      <c r="Y25" s="1223"/>
      <c r="Z25" s="21"/>
      <c r="AA25" s="357"/>
      <c r="AB25" s="358"/>
      <c r="AC25" s="358"/>
      <c r="AD25" s="358"/>
      <c r="AE25" s="358"/>
      <c r="AF25" s="358"/>
      <c r="AG25" s="358"/>
      <c r="AH25" s="358"/>
      <c r="AI25" s="358"/>
      <c r="AJ25" s="358"/>
      <c r="AK25" s="358"/>
      <c r="AL25" s="358"/>
      <c r="AM25" s="358"/>
      <c r="AN25" s="359"/>
    </row>
    <row r="26" spans="6:62" ht="15.95" customHeight="1">
      <c r="F26" s="1201" t="str">
        <f>IF(N02S03F15="","Missing Site Name",N02S03F15)</f>
        <v>Missing Site Name</v>
      </c>
      <c r="G26" s="639"/>
      <c r="H26" s="639"/>
      <c r="I26" s="639"/>
      <c r="J26" s="639"/>
      <c r="K26" s="639"/>
      <c r="L26" s="639"/>
      <c r="M26" s="639"/>
      <c r="N26" s="639"/>
      <c r="O26" s="639"/>
      <c r="P26" s="639" t="str">
        <f>IF(OR(N02S03F21="",N02S03F22="",N02S03F23="",N02S03F24="",N02S03F25=""),"Missing Contact Info",N02S03F21&amp;" "&amp;N02S03F22)</f>
        <v>Missing Contact Info</v>
      </c>
      <c r="Q26" s="639"/>
      <c r="R26" s="639"/>
      <c r="S26" s="639"/>
      <c r="T26" s="639"/>
      <c r="U26" s="639"/>
      <c r="V26" s="639"/>
      <c r="W26" s="639"/>
      <c r="X26" s="639"/>
      <c r="Y26" s="1202"/>
      <c r="Z26" s="21"/>
      <c r="AA26" s="1224" t="s">
        <v>1748</v>
      </c>
      <c r="AB26" s="1225"/>
      <c r="AC26" s="1225"/>
      <c r="AD26" s="1225"/>
      <c r="AE26" s="1225"/>
      <c r="AF26" s="1225"/>
      <c r="AG26" s="1225"/>
      <c r="AH26" s="1225"/>
      <c r="AI26" s="1225"/>
      <c r="AJ26" s="1225"/>
      <c r="AK26" s="1225"/>
      <c r="AL26" s="1225"/>
      <c r="AM26" s="1225"/>
      <c r="AN26" s="1226"/>
    </row>
    <row r="27" spans="6:62" ht="15.95" customHeight="1">
      <c r="F27" s="1201" t="str">
        <f>IF(OR(N02S03F16="",N02S03F17="",N02S03F18="",N02S03F19=""),"Missing Address Info",N02S03F16)</f>
        <v>Missing Address Info</v>
      </c>
      <c r="G27" s="639"/>
      <c r="H27" s="639"/>
      <c r="I27" s="639"/>
      <c r="J27" s="639"/>
      <c r="K27" s="639"/>
      <c r="L27" s="639"/>
      <c r="M27" s="639"/>
      <c r="N27" s="639"/>
      <c r="O27" s="639"/>
      <c r="P27" s="639" t="str">
        <f>IF(OR(N02S03F21="",N02S03F22="",N02S03F23="",N02S03F24="",N02S03F25=""),"",N02S03F23)</f>
        <v/>
      </c>
      <c r="Q27" s="639"/>
      <c r="R27" s="639"/>
      <c r="S27" s="639"/>
      <c r="T27" s="639"/>
      <c r="U27" s="1205" t="str">
        <f>IF(OR(N02S03F21="",N02S03F22="",N02S03F23="",N02S03F24="",N02S03F25=""),"",N02S03F24)</f>
        <v/>
      </c>
      <c r="V27" s="1205"/>
      <c r="W27" s="1205"/>
      <c r="X27" s="1205"/>
      <c r="Y27" s="1211"/>
      <c r="Z27" s="21"/>
      <c r="AA27" s="1233" t="s">
        <v>1471</v>
      </c>
      <c r="AB27" s="1234"/>
      <c r="AC27" s="1234"/>
      <c r="AD27" s="1234"/>
      <c r="AE27" s="1234"/>
      <c r="AF27" s="1234"/>
      <c r="AG27" s="1234"/>
      <c r="AH27" s="1235" t="s">
        <v>1072</v>
      </c>
      <c r="AI27" s="1235"/>
      <c r="AJ27" s="1235"/>
      <c r="AK27" s="1248" t="s">
        <v>1208</v>
      </c>
      <c r="AL27" s="1248"/>
      <c r="AM27" s="1248"/>
      <c r="AN27" s="1249"/>
    </row>
    <row r="28" spans="6:62" ht="15.95" customHeight="1">
      <c r="F28" s="1201" t="str">
        <f>IF(OR(N02S03F16="",N02S03F17="",N02S03F18="",N02S03F19=""),"",N02S03F17)</f>
        <v/>
      </c>
      <c r="G28" s="639"/>
      <c r="H28" s="639"/>
      <c r="I28" s="639"/>
      <c r="J28" s="639"/>
      <c r="K28" s="639" t="str">
        <f>IF(OR(N02S03F16="",N02S03F17="",N02S03F18="",N02S03F19=""),"",N02S03F18)</f>
        <v/>
      </c>
      <c r="L28" s="639"/>
      <c r="M28" s="639" t="str">
        <f>IF(OR(N02S03F16="",N02S03F17="",N02S03F18="",N02S03F19=""),"",N02S03F19)</f>
        <v/>
      </c>
      <c r="N28" s="639"/>
      <c r="O28" s="639"/>
      <c r="P28" s="639" t="str">
        <f>IF(OR(N02S03F21="",N02S03F22="",N02S03F23="",N02S03F24="",N02S03F25=""),"",N02S03F25)</f>
        <v/>
      </c>
      <c r="Q28" s="639"/>
      <c r="R28" s="639"/>
      <c r="S28" s="639"/>
      <c r="T28" s="639"/>
      <c r="U28" s="639"/>
      <c r="V28" s="639"/>
      <c r="W28" s="639"/>
      <c r="X28" s="639"/>
      <c r="Y28" s="1202"/>
      <c r="Z28" s="21"/>
      <c r="AA28" s="1216" t="str">
        <f>N3S4</f>
        <v>HVAC</v>
      </c>
      <c r="AB28" s="1217"/>
      <c r="AC28" s="1217"/>
      <c r="AD28" s="1217"/>
      <c r="AE28" s="1217"/>
      <c r="AF28" s="1217"/>
      <c r="AG28" s="1217"/>
      <c r="AH28" s="1218">
        <f>COUNT('N03-S04'!$AK$18:$AM$199)</f>
        <v>0</v>
      </c>
      <c r="AI28" s="1218">
        <f>COUNT('N03-S04'!$AK$18:$AM$199)</f>
        <v>0</v>
      </c>
      <c r="AJ28" s="1218">
        <f>COUNT('N03-S04'!$AK$18:$AM$199)</f>
        <v>0</v>
      </c>
      <c r="AK28" s="1219">
        <f>SUM('N03-S04'!$AN$18:$AQ$199)</f>
        <v>0</v>
      </c>
      <c r="AL28" s="1219">
        <f>SUM('N03-S04'!$AN$18:$AQ$199)</f>
        <v>0</v>
      </c>
      <c r="AM28" s="1219">
        <f>SUM('N03-S04'!$AN$18:$AQ$199)</f>
        <v>0</v>
      </c>
      <c r="AN28" s="1220">
        <f>SUM('N03-S04'!$AN$18:$AQ$199)</f>
        <v>0</v>
      </c>
    </row>
    <row r="29" spans="6:62" ht="15.95" customHeight="1">
      <c r="F29" s="93"/>
      <c r="Y29" s="92"/>
      <c r="Z29" s="21"/>
      <c r="AA29" s="1216" t="str">
        <f>N3S6</f>
        <v>Water Heating / Food Services</v>
      </c>
      <c r="AB29" s="1217"/>
      <c r="AC29" s="1217"/>
      <c r="AD29" s="1217"/>
      <c r="AE29" s="1217"/>
      <c r="AF29" s="1217"/>
      <c r="AG29" s="1217"/>
      <c r="AH29" s="1232">
        <f>COUNT('N03-S06'!$AK$18:$AM$199)</f>
        <v>0</v>
      </c>
      <c r="AI29" s="1232">
        <f>COUNT('zN03-S05'!$AK$18:$AM$199)</f>
        <v>0</v>
      </c>
      <c r="AJ29" s="1232">
        <f>COUNT('zN03-S05'!$AK$18:$AM$199)</f>
        <v>0</v>
      </c>
      <c r="AK29" s="1219">
        <f>SUM('N03-S06'!$AN$18:$AQ$199)</f>
        <v>0</v>
      </c>
      <c r="AL29" s="1219">
        <f>SUM('zN03-S05'!$AN$18:$AQ$199)</f>
        <v>0</v>
      </c>
      <c r="AM29" s="1219">
        <f>SUM('zN03-S05'!$AN$18:$AQ$199)</f>
        <v>0</v>
      </c>
      <c r="AN29" s="1220">
        <f>SUM('zN03-S05'!$AN$18:$AQ$199)</f>
        <v>0</v>
      </c>
    </row>
    <row r="30" spans="6:62" ht="15.95" customHeight="1">
      <c r="F30" s="90" t="str">
        <f>IF(OR(N02S03F26="",N02S03F27="",N02S03F28="",N02S03F29="",N02S03F30="",N02S03F31="",N02S03F32="",N02S03F33="",N02S03F34="",N02S03F36=""),"Missing Additional Info","Project ID: "&amp;N02S03F26)</f>
        <v>Missing Additional Info</v>
      </c>
      <c r="G30" s="84"/>
      <c r="H30" s="84"/>
      <c r="I30" s="84"/>
      <c r="J30" s="84"/>
      <c r="K30" s="84"/>
      <c r="L30" s="84"/>
      <c r="N30" s="84"/>
      <c r="O30" s="84"/>
      <c r="P30" s="84" t="str">
        <f>IF(OR(N02S03F26="",N02S03F27="",N02S03F28="",N02S03F29="",N02S03F30="",N02S03F31="",N02S03F32="",N02S03F33="",N02S03F34="",N02S03F36=""),"","Space Conditioning: "&amp;N02S03F29)</f>
        <v/>
      </c>
      <c r="Q30" s="84"/>
      <c r="R30" s="84"/>
      <c r="S30" s="84"/>
      <c r="T30" s="84"/>
      <c r="U30" s="84"/>
      <c r="V30" s="84"/>
      <c r="W30" s="84"/>
      <c r="X30" s="84"/>
      <c r="Y30" s="91"/>
      <c r="Z30" s="21"/>
      <c r="AA30" s="1233" t="s">
        <v>1527</v>
      </c>
      <c r="AB30" s="1234"/>
      <c r="AC30" s="1234"/>
      <c r="AD30" s="1234"/>
      <c r="AE30" s="1234"/>
      <c r="AF30" s="1234"/>
      <c r="AG30" s="1234"/>
      <c r="AH30" s="1235" t="s">
        <v>1072</v>
      </c>
      <c r="AI30" s="1235"/>
      <c r="AJ30" s="1235"/>
      <c r="AK30" s="1240" t="s">
        <v>1208</v>
      </c>
      <c r="AL30" s="1240"/>
      <c r="AM30" s="1240"/>
      <c r="AN30" s="1241"/>
    </row>
    <row r="31" spans="6:62" ht="15.95" customHeight="1">
      <c r="F31" s="90" t="str">
        <f>IF(OR(N02S03F18="",N02S03F19="",N02S03F20="",N02S03F21="",N02S03F22="",N02S03F23="",N02S03F24="",N02S03F25=""),"","Building Type: "&amp;N02S03F34)</f>
        <v/>
      </c>
      <c r="G31" s="84"/>
      <c r="H31" s="84"/>
      <c r="I31" s="84"/>
      <c r="J31" s="84"/>
      <c r="K31" s="84"/>
      <c r="L31" s="84"/>
      <c r="N31" s="84"/>
      <c r="O31" s="84"/>
      <c r="P31" s="84" t="str">
        <f>IF(OR(N02S03F26="",N02S03F27="",N02S03F28="",N02S03F29="",N02S03F30="",N02S03F31="",N02S03F32="",N02S03F33="",N02S03F34="",N02S03F36=""),"","Project Description: Complete")</f>
        <v/>
      </c>
      <c r="Q31" s="84"/>
      <c r="R31" s="84"/>
      <c r="S31" s="84"/>
      <c r="T31" s="84"/>
      <c r="U31" s="84"/>
      <c r="V31" s="84"/>
      <c r="W31" s="84"/>
      <c r="X31" s="84"/>
      <c r="Y31" s="91"/>
      <c r="Z31" s="21"/>
      <c r="AA31" s="1227" t="s">
        <v>1717</v>
      </c>
      <c r="AB31" s="1228"/>
      <c r="AC31" s="1228"/>
      <c r="AD31" s="1228"/>
      <c r="AE31" s="1228"/>
      <c r="AF31" s="1228"/>
      <c r="AG31" s="1228"/>
      <c r="AH31" s="1229">
        <f>IF(AK31&gt;0,1,0)</f>
        <v>0</v>
      </c>
      <c r="AI31" s="1229"/>
      <c r="AJ31" s="1229"/>
      <c r="AK31" s="1230">
        <f>SUM('N04-S09'!$AN$18:$AQ$19)</f>
        <v>0</v>
      </c>
      <c r="AL31" s="1230">
        <f>SUM('N04-S09'!$AN$18:$AQ$19)</f>
        <v>0</v>
      </c>
      <c r="AM31" s="1230">
        <f>SUM('N04-S09'!$AN$18:$AQ$19)</f>
        <v>0</v>
      </c>
      <c r="AN31" s="1231">
        <f>SUM('N04-S09'!$AN$18:$AQ$19)</f>
        <v>0</v>
      </c>
    </row>
    <row r="32" spans="6:62" ht="15.95" customHeight="1">
      <c r="F32" s="1201" t="str">
        <f>IF(OR(N02S03F26="",N02S03F27="",N02S03F28="",N02S03F29="",N02S03F30="",N02S03F31="",N02S03F32="",N02S03F33="",N02S03F34="",N02S03F36=""),"","Op Hours: "&amp;N02S03F28)</f>
        <v/>
      </c>
      <c r="G32" s="639"/>
      <c r="H32" s="639"/>
      <c r="I32" s="639"/>
      <c r="J32" s="639"/>
      <c r="K32" s="84"/>
      <c r="L32" s="84"/>
      <c r="N32" s="84"/>
      <c r="O32" s="84"/>
      <c r="P32" s="84" t="str">
        <f>IF(OR(N02S03F26="",N02S03F27="",N02S03F28="",N02S03F29="",N02S03F30="",N02S03F31="",N02S03F32="",N02S03F33="",N02S03F34="",N02S03F36=""),"","Evergy Contact: "&amp;N02S03F27)</f>
        <v/>
      </c>
      <c r="Q32" s="84"/>
      <c r="R32" s="84"/>
      <c r="S32" s="84"/>
      <c r="T32" s="84"/>
      <c r="U32" s="84"/>
      <c r="V32" s="84"/>
      <c r="W32" s="84"/>
      <c r="X32" s="84"/>
      <c r="Y32" s="91"/>
      <c r="Z32" s="21"/>
      <c r="AA32" s="357"/>
      <c r="AB32" s="358"/>
      <c r="AC32" s="358"/>
      <c r="AD32" s="358"/>
      <c r="AE32" s="358"/>
      <c r="AF32" s="358"/>
      <c r="AG32" s="358"/>
      <c r="AH32" s="358"/>
      <c r="AI32" s="358"/>
      <c r="AJ32" s="358"/>
      <c r="AK32" s="358"/>
      <c r="AL32" s="358"/>
      <c r="AM32" s="358"/>
      <c r="AN32" s="359"/>
    </row>
    <row r="33" spans="6:41" ht="15.95" customHeight="1">
      <c r="F33" s="90" t="str">
        <f>IF(OR(N02S03F26="",N02S03F27="",N02S03F28="",N02S03F29="",N02S03F30="",N02S03F31="",N02S03F32="",N02S03F33="",N02S03F34="",N02S03F36=""),"","Sq Ft: "&amp;N02S03F31)</f>
        <v/>
      </c>
      <c r="G33" s="84"/>
      <c r="H33" s="84"/>
      <c r="I33" s="84"/>
      <c r="J33" s="84"/>
      <c r="K33" s="84"/>
      <c r="L33" s="84"/>
      <c r="N33" s="84"/>
      <c r="O33" s="84"/>
      <c r="P33" s="373" t="str">
        <f>IF(OR(N02S03F26="",N02S03F27="",N02S03F28="",N02S03F29="",N02S03F30="",N02S03F31="",N02S03F32="",N02S03F33="",N02S03F34="",N02S03F36=""),"","How did you hear?: "&amp;N02S03F30)</f>
        <v/>
      </c>
      <c r="Q33" s="84"/>
      <c r="R33" s="84"/>
      <c r="S33" s="84"/>
      <c r="T33" s="84"/>
      <c r="U33" s="84"/>
      <c r="V33" s="84"/>
      <c r="W33" s="84"/>
      <c r="X33" s="84"/>
      <c r="Y33" s="91"/>
      <c r="Z33" s="21"/>
      <c r="AA33" s="1212" t="s">
        <v>1243</v>
      </c>
      <c r="AB33" s="1213"/>
      <c r="AC33" s="1213"/>
      <c r="AD33" s="1213"/>
      <c r="AE33" s="1213"/>
      <c r="AF33" s="1213"/>
      <c r="AG33" s="1213"/>
      <c r="AH33" s="1213"/>
      <c r="AI33" s="1213"/>
      <c r="AJ33" s="1213"/>
      <c r="AK33" s="1214">
        <f>SUM(AN19:AN31)</f>
        <v>0</v>
      </c>
      <c r="AL33" s="1214"/>
      <c r="AM33" s="1214"/>
      <c r="AN33" s="1215"/>
    </row>
    <row r="34" spans="6:41" ht="15.95" customHeight="1">
      <c r="F34" s="90" t="str">
        <f>IF(OR(N02S03F26="",N02S03F27="",N02S03F28="",N02S03F29="",N02S03F30="",N02S03F31="",N02S03F32="",N02S03F33="",N02S03F34="",N02S03F36=""),"","Legal/Contractual Requirements.: "&amp;N02S03F32)</f>
        <v/>
      </c>
      <c r="P34" s="84" t="str">
        <f>IF(OR(N02S03F26="",N02S03F27="",N02S03F28="",N02S03F29="",N02S03F30="",N02S03F31="",N02S03F32="",N02S03F33="",N02S03F34="",N02S03F36=""),"","NC Project Type: "&amp;N02S03F33)</f>
        <v/>
      </c>
      <c r="Y34" s="92"/>
      <c r="Z34" s="21"/>
      <c r="AA34" s="1203" t="str">
        <f>IF(AK33&gt;250000,"The total incentive total exceeds $250,000. This project may be subject to Block Bidding rates upon review.","")</f>
        <v/>
      </c>
      <c r="AB34" s="1203"/>
      <c r="AC34" s="1203"/>
      <c r="AD34" s="1203"/>
      <c r="AE34" s="1203"/>
      <c r="AF34" s="1203"/>
      <c r="AG34" s="1203"/>
      <c r="AH34" s="1203"/>
      <c r="AI34" s="1203"/>
      <c r="AJ34" s="1203"/>
      <c r="AK34" s="1203"/>
      <c r="AL34" s="1203"/>
      <c r="AM34" s="1203"/>
      <c r="AN34" s="1203"/>
    </row>
    <row r="35" spans="6:41" ht="15.95" customHeight="1">
      <c r="F35" s="1206" t="str">
        <f>N2S4</f>
        <v>Design Team Meeting</v>
      </c>
      <c r="G35" s="1207"/>
      <c r="H35" s="1207"/>
      <c r="I35" s="1207"/>
      <c r="J35" s="1207"/>
      <c r="K35" s="1207"/>
      <c r="L35" s="1207"/>
      <c r="M35" s="1207"/>
      <c r="N35" s="1207"/>
      <c r="O35" s="1207"/>
      <c r="P35" s="1208" t="str">
        <f ca="1">IF(COMPDTM_N&lt;&gt;1,"Incomplete","")</f>
        <v/>
      </c>
      <c r="Q35" s="1208"/>
      <c r="R35" s="1208"/>
      <c r="S35" s="1208"/>
      <c r="T35" s="1208"/>
      <c r="U35" s="1208"/>
      <c r="V35" s="1208"/>
      <c r="W35" s="1209" t="s">
        <v>795</v>
      </c>
      <c r="X35" s="1209"/>
      <c r="Y35" s="1210"/>
      <c r="Z35" s="21"/>
      <c r="AA35" s="1204"/>
      <c r="AB35" s="1204"/>
      <c r="AC35" s="1204"/>
      <c r="AD35" s="1204"/>
      <c r="AE35" s="1204"/>
      <c r="AF35" s="1204"/>
      <c r="AG35" s="1204"/>
      <c r="AH35" s="1204"/>
      <c r="AI35" s="1204"/>
      <c r="AJ35" s="1204"/>
      <c r="AK35" s="1204"/>
      <c r="AL35" s="1204"/>
      <c r="AM35" s="1204"/>
      <c r="AN35" s="1204"/>
    </row>
    <row r="36" spans="6:41" ht="15.95" customHeight="1">
      <c r="F36" s="372" t="str">
        <f>IF(OR(N02S04F01="",N02S04F02=""),"Planning &amp; Development Phase: Dates Missing","Planning &amp; Development Phase: "&amp;TEXT(N02S04F01,"mm/dd/yyyy")&amp;" - "&amp;TEXT(N02S04F02,"mm/dd/yyyy"))</f>
        <v>Planning &amp; Development Phase: Dates Missing</v>
      </c>
      <c r="Y36" s="92"/>
      <c r="AO36" s="279"/>
    </row>
    <row r="37" spans="6:41" ht="15.95" customHeight="1">
      <c r="F37" s="90" t="str">
        <f>IF(OR(N02S04F03="",N02S04F04=""),"Design/Build Phase: Dates Missing","Design/Build Phase: "&amp;TEXT(N02S04F03,"mm/dd/yyyy")&amp;" - "&amp;TEXT(N02S04F04,"mm/dd/yyyy"))</f>
        <v>Design/Build Phase: Dates Missing</v>
      </c>
      <c r="Y37" s="92"/>
      <c r="AO37" s="279"/>
    </row>
    <row r="38" spans="6:41" ht="15.95" customHeight="1">
      <c r="F38" s="90" t="str">
        <f>IF(OR(N02S04F05="",N02S04F06=""),"Procurement &amp; Construction Phase: Dates Missing","Procurement &amp; Construction Phase: "&amp;TEXT(N02S04F05,"mm/dd/yyyy")&amp;" - "&amp;TEXT(N02S04F06,"mm/dd/yyyy"))</f>
        <v>Procurement &amp; Construction Phase: Dates Missing</v>
      </c>
      <c r="Y38" s="92"/>
    </row>
    <row r="39" spans="6:41" ht="15.95" customHeight="1">
      <c r="F39" s="90" t="str">
        <f>IF(N02S04F07="","Construction Completion: Date Missing","Construction Completion: "&amp;TEXT(N02S04F07,"mm/dd/yyyy"))</f>
        <v>Construction Completion: Date Missing</v>
      </c>
      <c r="Y39" s="92"/>
      <c r="Z39" s="21"/>
    </row>
    <row r="40" spans="6:41" ht="15.95" customHeight="1">
      <c r="F40" s="1206" t="str">
        <f>N5S1</f>
        <v>Payment</v>
      </c>
      <c r="G40" s="1207"/>
      <c r="H40" s="1207"/>
      <c r="I40" s="1207"/>
      <c r="J40" s="1207"/>
      <c r="K40" s="1207"/>
      <c r="L40" s="1207"/>
      <c r="M40" s="1207"/>
      <c r="N40" s="1207"/>
      <c r="O40" s="1207"/>
      <c r="P40" s="1208" t="str">
        <f ca="1">IF(COMPPAY_N&lt;&gt;1,"Incomplete","")</f>
        <v>Incomplete</v>
      </c>
      <c r="Q40" s="1208"/>
      <c r="R40" s="1208"/>
      <c r="S40" s="1208"/>
      <c r="T40" s="1208"/>
      <c r="U40" s="1208"/>
      <c r="V40" s="1208"/>
      <c r="W40" s="1209" t="s">
        <v>795</v>
      </c>
      <c r="X40" s="1209"/>
      <c r="Y40" s="1210"/>
      <c r="Z40" s="21"/>
    </row>
    <row r="41" spans="6:41" ht="15.95" customHeight="1">
      <c r="F41" s="1201" t="str">
        <f>IF(OR(N05S01F02=0,N05S01F02=""),"Missing Company Name",N05S01F02)</f>
        <v>Missing Company Name</v>
      </c>
      <c r="G41" s="639"/>
      <c r="H41" s="639"/>
      <c r="I41" s="639"/>
      <c r="J41" s="639"/>
      <c r="K41" s="639"/>
      <c r="L41" s="639"/>
      <c r="M41" s="639"/>
      <c r="N41" s="639"/>
      <c r="O41" s="639"/>
      <c r="P41" s="639" t="str">
        <f>IF(OR(N05S01F07=0,N05S01F08=0,N05S01F09=0,N05S01F10=0,N05S01F07="",N05S01F08="",N05S01F09="",N05S01F10=""),"Missing Contact Info",N05S01F07&amp;" "&amp;N05S01F08)</f>
        <v>Missing Contact Info</v>
      </c>
      <c r="Q41" s="639"/>
      <c r="R41" s="639"/>
      <c r="S41" s="639"/>
      <c r="T41" s="639"/>
      <c r="U41" s="639"/>
      <c r="V41" s="639"/>
      <c r="W41" s="639"/>
      <c r="X41" s="639"/>
      <c r="Y41" s="1202"/>
      <c r="Z41" s="21"/>
    </row>
    <row r="42" spans="6:41" ht="15.95" customHeight="1">
      <c r="F42" s="1201" t="str">
        <f>IF(OR(N05S01F03=0,N05S01F04=0,N05S01F05=0,N05S01F06=0,N05S01F03="",N05S01F04="",N05S01F05="",N05S01F06=""),"Missing Address Info",N05S01F03)</f>
        <v>Missing Address Info</v>
      </c>
      <c r="G42" s="639"/>
      <c r="H42" s="639"/>
      <c r="I42" s="639"/>
      <c r="J42" s="639"/>
      <c r="K42" s="639"/>
      <c r="L42" s="639"/>
      <c r="M42" s="639"/>
      <c r="N42" s="639"/>
      <c r="O42" s="639"/>
      <c r="P42" s="1205" t="str">
        <f>IF(OR(N05S01F07=0,N05S01F08=0,N05S01F09=0,N05S01F10=0,N05S01F07="",N05S01F08="",N05S01F09="",N05S01F10=""),"",N05S01F09)</f>
        <v/>
      </c>
      <c r="Q42" s="1205"/>
      <c r="R42" s="1205"/>
      <c r="S42" s="1205"/>
      <c r="T42" s="1205"/>
      <c r="Y42" s="92"/>
      <c r="Z42" s="21"/>
    </row>
    <row r="43" spans="6:41" ht="15.95" customHeight="1">
      <c r="F43" s="1201" t="str">
        <f>IF(OR(N05S01F03=0,N05S01F04=0,N05S01F05=0,N05S01F06=0,N05S01F03="",N05S01F04="",N05S01F05="",N05S01F06=""),"",N05S01F04)</f>
        <v/>
      </c>
      <c r="G43" s="639"/>
      <c r="H43" s="639"/>
      <c r="I43" s="639"/>
      <c r="J43" s="639"/>
      <c r="K43" s="639" t="str">
        <f>IF(OR(N05S01F03=0,N05S01F04=0,N05S01F05=0,N05S01F06=0,N05S01F03="",N05S01F04="",N05S01F05="",N05S01F06=""),"",N05S01F05)</f>
        <v/>
      </c>
      <c r="L43" s="639"/>
      <c r="M43" s="639" t="str">
        <f>IF(OR(N05S01F03=0,N05S01F04=0,N05S01F05=0,N05S01F06=0,N05S01F03="",N05S01F04="",N05S01F05="",N05S01F06=""),"",N05S01F06)</f>
        <v/>
      </c>
      <c r="N43" s="639"/>
      <c r="O43" s="639"/>
      <c r="P43" s="639" t="str">
        <f>IF(OR(N05S01F07=0,N05S01F08=0,N05S01F09=0,N05S01F10=0,N05S01F07="",N05S01F08="",N05S01F09="",N05S01F10=""),"",N05S01F10)</f>
        <v/>
      </c>
      <c r="Q43" s="639"/>
      <c r="R43" s="639"/>
      <c r="S43" s="639"/>
      <c r="T43" s="639"/>
      <c r="U43" s="639"/>
      <c r="V43" s="639"/>
      <c r="W43" s="639"/>
      <c r="X43" s="639"/>
      <c r="Y43" s="1202"/>
      <c r="Z43" s="21"/>
      <c r="AO43" s="280"/>
    </row>
    <row r="44" spans="6:41" ht="15.95" customHeight="1">
      <c r="F44" s="93"/>
      <c r="G44" s="84"/>
      <c r="H44" s="84"/>
      <c r="I44" s="84"/>
      <c r="L44" s="84"/>
      <c r="M44" s="84"/>
      <c r="N44" s="84"/>
      <c r="O44" s="84"/>
      <c r="R44" s="84"/>
      <c r="S44" s="84"/>
      <c r="T44" s="84"/>
      <c r="U44" s="84"/>
      <c r="V44" s="84"/>
      <c r="W44" s="84"/>
      <c r="X44" s="84"/>
      <c r="Y44" s="91"/>
    </row>
    <row r="45" spans="6:41" ht="15.95" customHeight="1">
      <c r="F45" s="90" t="s">
        <v>793</v>
      </c>
      <c r="G45" s="84"/>
      <c r="H45" s="84"/>
      <c r="I45" s="84"/>
      <c r="J45" s="84"/>
      <c r="K45" s="84"/>
      <c r="L45" s="84"/>
      <c r="M45" s="84"/>
      <c r="N45" s="84"/>
      <c r="O45" s="84"/>
      <c r="Q45" s="84"/>
      <c r="R45" s="84"/>
      <c r="S45" s="84"/>
      <c r="T45" s="84"/>
      <c r="U45" s="84"/>
      <c r="V45" s="84"/>
      <c r="W45" s="84"/>
      <c r="X45" s="84"/>
      <c r="Y45" s="91"/>
    </row>
    <row r="46" spans="6:41" ht="15.95" customHeight="1">
      <c r="F46" s="94" t="str">
        <f>IF(N05S01F12="","Missing Tax Entity","Tax Entity: "&amp;N05S01F12)</f>
        <v>Missing Tax Entity</v>
      </c>
      <c r="G46" s="95"/>
      <c r="H46" s="95"/>
      <c r="I46" s="95"/>
      <c r="J46" s="95"/>
      <c r="K46" s="95"/>
      <c r="L46" s="95"/>
      <c r="M46" s="95"/>
      <c r="N46" s="95" t="str">
        <f>IF(OR(N05S01F13="",N05S01F14=""),"Missing Tax ID","Tax ID: "&amp;N05S01F13&amp;"-"&amp;N05S01F14)</f>
        <v>Missing Tax ID</v>
      </c>
      <c r="O46" s="95"/>
      <c r="P46" s="253"/>
      <c r="Q46" s="95"/>
      <c r="R46" s="95"/>
      <c r="S46" s="95" t="str">
        <f>IF(AND(N05S01F01="Site (Bill Credit)",N05S01F14=""),"Missing Bill Credit Account",IF(AND(N05S01F01="Site (Bill Credit)",N05S01F14&lt;&gt;""),"Bill Credit Account: "&amp;N05S01F14,""))</f>
        <v/>
      </c>
      <c r="T46" s="95"/>
      <c r="U46" s="95"/>
      <c r="V46" s="95"/>
      <c r="W46" s="95"/>
      <c r="X46" s="95"/>
      <c r="Y46" s="96"/>
    </row>
    <row r="47" spans="6:41" ht="15.95" customHeight="1"/>
    <row r="48" spans="6:41" ht="15.95" hidden="1" customHeight="1"/>
    <row r="49" spans="26:41" ht="15.95" hidden="1" customHeight="1"/>
    <row r="50" spans="26:41" ht="15.95" hidden="1" customHeight="1">
      <c r="AO50" s="21"/>
    </row>
    <row r="51" spans="26:41" ht="15.95" hidden="1" customHeight="1">
      <c r="AO51" s="21"/>
    </row>
    <row r="52" spans="26:41" ht="15.95" hidden="1" customHeight="1">
      <c r="Z52" s="21"/>
      <c r="AO52" s="21"/>
    </row>
    <row r="53" spans="26:41" ht="15.95" hidden="1" customHeight="1">
      <c r="Z53" s="21"/>
      <c r="AO53" s="21"/>
    </row>
    <row r="54" spans="26:41" ht="15.95" hidden="1" customHeight="1">
      <c r="Z54" s="21"/>
      <c r="AO54" s="21"/>
    </row>
    <row r="55" spans="26:41" ht="15.95" hidden="1" customHeight="1">
      <c r="Z55" s="21"/>
      <c r="AO55" s="21"/>
    </row>
    <row r="56" spans="26:41" ht="15.95" hidden="1" customHeight="1">
      <c r="Z56" s="21"/>
    </row>
    <row r="57" spans="26:41" ht="15.95" hidden="1" customHeight="1">
      <c r="Z57" s="21"/>
    </row>
    <row r="58" spans="26:41" ht="15.95" hidden="1" customHeight="1">
      <c r="Z58" s="21"/>
    </row>
    <row r="59" spans="26:41" ht="15.95" hidden="1" customHeight="1"/>
    <row r="60" spans="26:41" ht="15.95" hidden="1" customHeight="1"/>
    <row r="61" spans="26:41" ht="15.95" hidden="1" customHeight="1"/>
    <row r="62" spans="26:41" ht="15.95" hidden="1" customHeight="1"/>
    <row r="63" spans="26:41" ht="15.95" hidden="1" customHeight="1"/>
    <row r="64" spans="26:41"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49" ht="15.95" hidden="1" customHeight="1"/>
  </sheetData>
  <sheetProtection algorithmName="SHA-512" hashValue="wJy4y2NTy/y0itGlCgxnvl82BYNhTV+qoFV5xJx2TEhUgybJEq+pdAymIntQ+5h6dbSUn7Yfnqxd8UWMvAfPAA==" saltValue="eXZae9mXq8s5mbqfHtttZA==" spinCount="100000" sheet="1" objects="1" scenarios="1" selectLockedCells="1"/>
  <mergeCells count="114">
    <mergeCell ref="F1:I3"/>
    <mergeCell ref="J1:M3"/>
    <mergeCell ref="O1:AE3"/>
    <mergeCell ref="AL1:AO3"/>
    <mergeCell ref="AT1:AW3"/>
    <mergeCell ref="AP1:AS3"/>
    <mergeCell ref="A5:E6"/>
    <mergeCell ref="AQ5:AU6"/>
    <mergeCell ref="A7:E7"/>
    <mergeCell ref="AQ7:AU7"/>
    <mergeCell ref="A8:E8"/>
    <mergeCell ref="AQ8:AU8"/>
    <mergeCell ref="AA30:AG30"/>
    <mergeCell ref="AH30:AJ30"/>
    <mergeCell ref="AK30:AN30"/>
    <mergeCell ref="F11:AK12"/>
    <mergeCell ref="F14:O14"/>
    <mergeCell ref="P14:V14"/>
    <mergeCell ref="W14:Y14"/>
    <mergeCell ref="F15:N15"/>
    <mergeCell ref="O15:V15"/>
    <mergeCell ref="W15:Y15"/>
    <mergeCell ref="AK27:AN27"/>
    <mergeCell ref="F18:O18"/>
    <mergeCell ref="F16:O16"/>
    <mergeCell ref="F19:J19"/>
    <mergeCell ref="K19:L19"/>
    <mergeCell ref="M19:O19"/>
    <mergeCell ref="P20:V20"/>
    <mergeCell ref="W20:Y20"/>
    <mergeCell ref="AA20:AG20"/>
    <mergeCell ref="AH20:AJ20"/>
    <mergeCell ref="AK20:AN20"/>
    <mergeCell ref="AA21:AG21"/>
    <mergeCell ref="AH21:AJ21"/>
    <mergeCell ref="AK21:AN21"/>
    <mergeCell ref="F22:O22"/>
    <mergeCell ref="P16:V16"/>
    <mergeCell ref="W16:Y16"/>
    <mergeCell ref="AA16:AK16"/>
    <mergeCell ref="AL16:AN16"/>
    <mergeCell ref="F17:O17"/>
    <mergeCell ref="AA17:AN17"/>
    <mergeCell ref="P17:Y17"/>
    <mergeCell ref="P18:T18"/>
    <mergeCell ref="U18:Y18"/>
    <mergeCell ref="AA18:AG18"/>
    <mergeCell ref="AH18:AJ18"/>
    <mergeCell ref="AK18:AN18"/>
    <mergeCell ref="AA23:AG23"/>
    <mergeCell ref="AH23:AJ23"/>
    <mergeCell ref="AK23:AN23"/>
    <mergeCell ref="AA31:AG31"/>
    <mergeCell ref="AH31:AJ31"/>
    <mergeCell ref="AK31:AN31"/>
    <mergeCell ref="AH29:AJ29"/>
    <mergeCell ref="AK29:AN29"/>
    <mergeCell ref="AA28:AG28"/>
    <mergeCell ref="AH28:AJ28"/>
    <mergeCell ref="AK28:AN28"/>
    <mergeCell ref="AA29:AG29"/>
    <mergeCell ref="AA24:AG24"/>
    <mergeCell ref="AH24:AJ24"/>
    <mergeCell ref="AK24:AN24"/>
    <mergeCell ref="AA27:AG27"/>
    <mergeCell ref="AH27:AJ27"/>
    <mergeCell ref="P27:T27"/>
    <mergeCell ref="U27:Y27"/>
    <mergeCell ref="F32:J32"/>
    <mergeCell ref="AA33:AJ33"/>
    <mergeCell ref="AK33:AN33"/>
    <mergeCell ref="AA22:AG22"/>
    <mergeCell ref="AH22:AJ22"/>
    <mergeCell ref="AK22:AN22"/>
    <mergeCell ref="AA19:AG19"/>
    <mergeCell ref="AH19:AJ19"/>
    <mergeCell ref="AK19:AN19"/>
    <mergeCell ref="P22:Y22"/>
    <mergeCell ref="F23:O23"/>
    <mergeCell ref="P23:T23"/>
    <mergeCell ref="U23:Y23"/>
    <mergeCell ref="F28:J28"/>
    <mergeCell ref="K28:L28"/>
    <mergeCell ref="M28:O28"/>
    <mergeCell ref="P28:Y28"/>
    <mergeCell ref="F25:Y25"/>
    <mergeCell ref="AA26:AN26"/>
    <mergeCell ref="P19:Y19"/>
    <mergeCell ref="F21:Y21"/>
    <mergeCell ref="F20:O20"/>
    <mergeCell ref="A9:AW10"/>
    <mergeCell ref="M200:AG201"/>
    <mergeCell ref="F41:O41"/>
    <mergeCell ref="P41:Y41"/>
    <mergeCell ref="AA34:AN35"/>
    <mergeCell ref="F42:O42"/>
    <mergeCell ref="P42:T42"/>
    <mergeCell ref="F43:J43"/>
    <mergeCell ref="K43:L43"/>
    <mergeCell ref="M43:O43"/>
    <mergeCell ref="P43:Y43"/>
    <mergeCell ref="F40:O40"/>
    <mergeCell ref="P40:V40"/>
    <mergeCell ref="W40:Y40"/>
    <mergeCell ref="F35:O35"/>
    <mergeCell ref="P35:V35"/>
    <mergeCell ref="W35:Y35"/>
    <mergeCell ref="F24:J24"/>
    <mergeCell ref="K24:L24"/>
    <mergeCell ref="M24:O24"/>
    <mergeCell ref="P24:Y24"/>
    <mergeCell ref="F26:O26"/>
    <mergeCell ref="P26:Y26"/>
    <mergeCell ref="F27:O27"/>
  </mergeCells>
  <conditionalFormatting sqref="F34">
    <cfRule type="expression" dxfId="39" priority="6">
      <formula>IF(ISNUMBER(SEARCH("Missing",F34)),TRUE,FALSE)</formula>
    </cfRule>
  </conditionalFormatting>
  <conditionalFormatting sqref="F36:F39">
    <cfRule type="expression" dxfId="38" priority="2">
      <formula>IF(ISNUMBER(SEARCH("Missing",F36)),TRUE,FALSE)</formula>
    </cfRule>
  </conditionalFormatting>
  <conditionalFormatting sqref="F15:Y15 F22:Y24 F26:Y28 F30:L33 N30:Y33 F41:Y45 F46:O46 Q46:Y46">
    <cfRule type="expression" dxfId="37" priority="13">
      <formula>IF(ISNUMBER(SEARCH("Missing",F15)),TRUE,FALSE)</formula>
    </cfRule>
  </conditionalFormatting>
  <conditionalFormatting sqref="F17:Y19">
    <cfRule type="expression" dxfId="36" priority="7">
      <formula>IF(ISNUMBER(SEARCH("Missing",F17)),TRUE,FALSE)</formula>
    </cfRule>
  </conditionalFormatting>
  <conditionalFormatting sqref="P34">
    <cfRule type="expression" dxfId="35" priority="4">
      <formula>IF(ISNUMBER(SEARCH("Missing",P34)),TRUE,FALSE)</formula>
    </cfRule>
  </conditionalFormatting>
  <conditionalFormatting sqref="AQ8:AW8">
    <cfRule type="expression" dxfId="34" priority="1732">
      <formula>IF($AQ$8=PROJSTATMEASURE,FALSE,TRUE)</formula>
    </cfRule>
  </conditionalFormatting>
  <hyperlinks>
    <hyperlink ref="AA28:AG28" location="'M03-S04'!C18" tooltip="View: Standard Refrigeration" display="'M03-S04'!C18" xr:uid="{D252F990-8202-4AD6-8F9C-BB5C7A3AFB7D}"/>
    <hyperlink ref="AA29:AG29" location="'M03-S05'!C18" tooltip="View: Standard HVAC" display="'M03-S05'!C18" xr:uid="{C337B531-D24F-4E3A-BD16-30DE2E456AB1}"/>
    <hyperlink ref="AA19:AG19" location="'M04-S04'!C18" tooltip="View: Custom Refrigeration" display="'M04-S04'!C18" xr:uid="{AAD87BB5-3ED4-464D-A581-094A223B7916}"/>
    <hyperlink ref="W14:Y14" location="'M02-S01'!A1" tooltip="Update: Terms &amp; Conditions" display=" ✎ Update" xr:uid="{3587625A-0F25-43F6-8E46-CF8D58418E42}"/>
    <hyperlink ref="W16:Y16" location="'M02-S02'!A1" tooltip="Update: Trade Ally / Vendor Information" display=" ✎ Update" xr:uid="{4ABCA316-848B-4AC8-9EB9-8C3A5D2995FD}"/>
    <hyperlink ref="W20:Y20" location="'M02-S03'!A1" tooltip="Update: Customer Information" display=" ✎ Update" xr:uid="{FDC8E440-91AB-4190-A748-743655C005E2}"/>
    <hyperlink ref="W35:Y35" location="'M02-S04'!A1" tooltip="Update: Building Information" display=" ✎ Update" xr:uid="{9BEFACCA-0915-4A03-9B3E-AEABD07F42D3}"/>
    <hyperlink ref="W40:Y40" location="'M05-S01'!A1" tooltip="Update: Payment" display=" ✎ Update" xr:uid="{FC37BFA9-4DCF-495C-8501-5312CE5BA3E7}"/>
    <hyperlink ref="AA20:AG24" location="'M04-S04'!C18" tooltip="View: Custom Refrigeration" display="'M04-S04'!C18" xr:uid="{267EE17F-AA19-4714-9E6D-3B0F5A2A8C40}"/>
    <hyperlink ref="B202" r:id="rId1" display="businessrebates@evergy.com" xr:uid="{87BAE7CB-9F53-4332-88BC-9F4A9498ECDF}"/>
  </hyperlinks>
  <printOptions horizontalCentered="1"/>
  <pageMargins left="0" right="0" top="0" bottom="0" header="0" footer="0"/>
  <pageSetup scale="4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630BA-533C-4E3D-B027-8805983CB046}">
  <sheetPr codeName="Sheet75">
    <tabColor theme="9" tint="0.59999389629810485"/>
    <pageSetUpPr fitToPage="1"/>
  </sheetPr>
  <dimension ref="A1:AW203"/>
  <sheetViews>
    <sheetView showGridLines="0" showRowColHeaders="0" zoomScale="85" zoomScaleNormal="85" workbookViewId="0">
      <selection activeCell="AI21" sqref="AI21:AQ23"/>
    </sheetView>
  </sheetViews>
  <sheetFormatPr defaultColWidth="0" defaultRowHeight="15" customHeight="1" zeroHeight="1"/>
  <cols>
    <col min="1" max="49" width="4.7109375" customWidth="1"/>
    <col min="50" max="16384" width="4.710937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B4" s="199"/>
      <c r="C4" s="199"/>
      <c r="D4" s="199"/>
      <c r="E4" s="199"/>
    </row>
    <row r="5" spans="1:49" ht="15.95" customHeight="1">
      <c r="A5" s="667">
        <f>INCENTOTAL_N</f>
        <v>0</v>
      </c>
      <c r="B5" s="667"/>
      <c r="C5" s="667"/>
      <c r="D5" s="667"/>
      <c r="E5" s="667"/>
      <c r="AQ5" s="668">
        <f ca="1">PROGRESSSTATUS_N</f>
        <v>0</v>
      </c>
      <c r="AR5" s="668"/>
      <c r="AS5" s="668"/>
      <c r="AT5" s="668"/>
      <c r="AU5" s="668"/>
      <c r="AV5" s="557"/>
      <c r="AW5" s="557"/>
    </row>
    <row r="6" spans="1:49" ht="15.95" customHeight="1">
      <c r="A6" s="667"/>
      <c r="B6" s="667"/>
      <c r="C6" s="667"/>
      <c r="D6" s="667"/>
      <c r="E6" s="667"/>
      <c r="AQ6" s="668"/>
      <c r="AR6" s="668"/>
      <c r="AS6" s="668"/>
      <c r="AT6" s="668"/>
      <c r="AU6" s="668"/>
      <c r="AV6" s="557"/>
      <c r="AW6" s="557"/>
    </row>
    <row r="7" spans="1:49" ht="15.95" customHeight="1">
      <c r="A7" s="665" t="s">
        <v>20</v>
      </c>
      <c r="B7" s="665"/>
      <c r="C7" s="665"/>
      <c r="D7" s="665"/>
      <c r="E7" s="665"/>
      <c r="AQ7" s="665" t="s">
        <v>179</v>
      </c>
      <c r="AR7" s="665"/>
      <c r="AS7" s="665"/>
      <c r="AT7" s="665"/>
      <c r="AU7" s="665"/>
      <c r="AV7" s="556"/>
      <c r="AW7" s="556"/>
    </row>
    <row r="8" spans="1:49" ht="15.95" customHeight="1" thickBot="1">
      <c r="A8" s="665"/>
      <c r="B8" s="665"/>
      <c r="C8" s="665"/>
      <c r="D8" s="665"/>
      <c r="E8" s="665"/>
      <c r="AQ8" s="674" t="str">
        <f ca="1">PROJSTATUS_N</f>
        <v>Enter Measures</v>
      </c>
      <c r="AR8" s="674"/>
      <c r="AS8" s="674"/>
      <c r="AT8" s="674"/>
      <c r="AU8" s="674"/>
      <c r="AV8" s="558"/>
      <c r="AW8" s="558"/>
    </row>
    <row r="9" spans="1:49" ht="15.95" customHeight="1">
      <c r="A9" s="636" t="s">
        <v>1824</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49" ht="15.95" customHeight="1">
      <c r="A11" s="97"/>
      <c r="B11" s="97"/>
      <c r="C11" s="97"/>
      <c r="D11" s="97"/>
    </row>
    <row r="12" spans="1:49" ht="15.95" customHeight="1">
      <c r="G12" s="1256" t="s">
        <v>1822</v>
      </c>
      <c r="H12" s="1257"/>
      <c r="I12" s="1257"/>
      <c r="J12" s="1257"/>
      <c r="K12" s="1257"/>
      <c r="L12" s="1257"/>
      <c r="M12" s="1257"/>
      <c r="N12" s="1257"/>
      <c r="O12" s="1257"/>
      <c r="P12" s="1257"/>
      <c r="Q12" s="1257"/>
      <c r="R12" s="1257"/>
      <c r="S12" s="1258"/>
      <c r="T12" s="21"/>
      <c r="U12" s="1259" t="s">
        <v>979</v>
      </c>
      <c r="V12" s="1260"/>
      <c r="W12" s="1260"/>
      <c r="X12" s="1260"/>
      <c r="Y12" s="1260"/>
      <c r="Z12" s="1260"/>
      <c r="AA12" s="1260"/>
      <c r="AB12" s="1260"/>
      <c r="AC12" s="1260"/>
      <c r="AD12" s="1260"/>
      <c r="AE12" s="1260"/>
      <c r="AF12" s="1260"/>
      <c r="AG12" s="1261"/>
      <c r="AN12" s="169"/>
    </row>
    <row r="13" spans="1:49" ht="15.95" customHeight="1">
      <c r="G13" s="160"/>
      <c r="H13" s="21"/>
      <c r="I13" s="21"/>
      <c r="J13" s="21"/>
      <c r="K13" s="21"/>
      <c r="L13" s="21"/>
      <c r="M13" s="21"/>
      <c r="N13" s="21"/>
      <c r="O13" s="21"/>
      <c r="P13" s="21"/>
      <c r="Q13" s="21"/>
      <c r="R13" s="21"/>
      <c r="S13" s="161"/>
      <c r="U13" s="160"/>
      <c r="V13" s="21"/>
      <c r="W13" s="21"/>
      <c r="X13" s="21"/>
      <c r="Y13" s="21"/>
      <c r="Z13" s="21"/>
      <c r="AA13" s="21"/>
      <c r="AB13" s="21"/>
      <c r="AC13" s="21"/>
      <c r="AD13" s="21"/>
      <c r="AE13" s="21"/>
      <c r="AF13" s="21"/>
      <c r="AG13" s="166"/>
    </row>
    <row r="14" spans="1:49" ht="15.95" customHeight="1">
      <c r="G14" s="162" t="s">
        <v>968</v>
      </c>
      <c r="H14" s="21" t="s">
        <v>969</v>
      </c>
      <c r="I14" s="21"/>
      <c r="J14" s="21"/>
      <c r="K14" s="21"/>
      <c r="L14" s="21"/>
      <c r="M14" s="21"/>
      <c r="N14" s="21"/>
      <c r="O14" s="21"/>
      <c r="P14" s="21"/>
      <c r="Q14" s="21"/>
      <c r="R14" s="21"/>
      <c r="S14" s="161"/>
      <c r="U14" s="162" t="s">
        <v>968</v>
      </c>
      <c r="V14" s="1250" t="s">
        <v>1255</v>
      </c>
      <c r="W14" s="1250"/>
      <c r="X14" s="1250"/>
      <c r="Y14" s="1250"/>
      <c r="Z14" s="1250"/>
      <c r="AA14" s="1250"/>
      <c r="AB14" s="1250"/>
      <c r="AC14" s="1250"/>
      <c r="AD14" s="1250"/>
      <c r="AE14" s="1250"/>
      <c r="AF14" s="1250"/>
      <c r="AG14" s="1251"/>
    </row>
    <row r="15" spans="1:49" ht="15.95" customHeight="1">
      <c r="G15" s="163"/>
      <c r="P15" s="21"/>
      <c r="Q15" s="21"/>
      <c r="R15" s="21"/>
      <c r="S15" s="161"/>
      <c r="U15" s="162"/>
      <c r="V15" s="1250"/>
      <c r="W15" s="1250"/>
      <c r="X15" s="1250"/>
      <c r="Y15" s="1250"/>
      <c r="Z15" s="1250"/>
      <c r="AA15" s="1250"/>
      <c r="AB15" s="1250"/>
      <c r="AC15" s="1250"/>
      <c r="AD15" s="1250"/>
      <c r="AE15" s="1250"/>
      <c r="AF15" s="1250"/>
      <c r="AG15" s="1251"/>
    </row>
    <row r="16" spans="1:49" ht="15.95" customHeight="1">
      <c r="G16" s="162" t="s">
        <v>970</v>
      </c>
      <c r="H16" s="21" t="s">
        <v>971</v>
      </c>
      <c r="I16" s="21"/>
      <c r="J16" s="21"/>
      <c r="K16" s="21"/>
      <c r="L16" s="21"/>
      <c r="M16" s="21"/>
      <c r="N16" s="21"/>
      <c r="O16" s="21"/>
      <c r="P16" s="21"/>
      <c r="Q16" s="21"/>
      <c r="R16" s="21"/>
      <c r="S16" s="161"/>
      <c r="U16" s="160"/>
      <c r="V16" s="1250"/>
      <c r="W16" s="1250"/>
      <c r="X16" s="1250"/>
      <c r="Y16" s="1250"/>
      <c r="Z16" s="1250"/>
      <c r="AA16" s="1250"/>
      <c r="AB16" s="1250"/>
      <c r="AC16" s="1250"/>
      <c r="AD16" s="1250"/>
      <c r="AE16" s="1250"/>
      <c r="AF16" s="1250"/>
      <c r="AG16" s="1251"/>
    </row>
    <row r="17" spans="7:43" ht="15.95" customHeight="1">
      <c r="G17" s="162"/>
      <c r="H17" s="1254" t="s">
        <v>180</v>
      </c>
      <c r="I17" s="1254"/>
      <c r="J17" s="1254"/>
      <c r="K17" s="1254" t="s">
        <v>972</v>
      </c>
      <c r="L17" s="1254"/>
      <c r="M17" s="1254"/>
      <c r="N17" s="1254"/>
      <c r="O17" s="1254"/>
      <c r="P17" s="1254"/>
      <c r="Q17" s="1254"/>
      <c r="R17" s="1254"/>
      <c r="S17" s="1255"/>
      <c r="T17" s="168"/>
      <c r="U17" s="162" t="s">
        <v>970</v>
      </c>
      <c r="V17" s="1250" t="s">
        <v>1823</v>
      </c>
      <c r="W17" s="1250"/>
      <c r="X17" s="1250"/>
      <c r="Y17" s="1250"/>
      <c r="Z17" s="1250"/>
      <c r="AA17" s="1250"/>
      <c r="AB17" s="1250"/>
      <c r="AC17" s="1250"/>
      <c r="AD17" s="1250"/>
      <c r="AE17" s="1250"/>
      <c r="AF17" s="1250"/>
      <c r="AG17" s="1251"/>
    </row>
    <row r="18" spans="7:43" ht="15.95" customHeight="1">
      <c r="G18" s="162"/>
      <c r="H18" s="1254" t="s">
        <v>180</v>
      </c>
      <c r="I18" s="1254"/>
      <c r="J18" s="1254"/>
      <c r="K18" s="1254" t="s">
        <v>975</v>
      </c>
      <c r="L18" s="1254"/>
      <c r="M18" s="1254"/>
      <c r="N18" s="1254"/>
      <c r="O18" s="1254"/>
      <c r="P18" s="1254"/>
      <c r="Q18" s="1254"/>
      <c r="R18" s="1254"/>
      <c r="S18" s="1255"/>
      <c r="U18" s="160"/>
      <c r="V18" s="1250"/>
      <c r="W18" s="1250"/>
      <c r="X18" s="1250"/>
      <c r="Y18" s="1250"/>
      <c r="Z18" s="1250"/>
      <c r="AA18" s="1250"/>
      <c r="AB18" s="1250"/>
      <c r="AC18" s="1250"/>
      <c r="AD18" s="1250"/>
      <c r="AE18" s="1250"/>
      <c r="AF18" s="1250"/>
      <c r="AG18" s="1251"/>
    </row>
    <row r="19" spans="7:43" ht="15.95" customHeight="1">
      <c r="G19" s="162"/>
      <c r="H19" s="1254" t="s">
        <v>973</v>
      </c>
      <c r="I19" s="1254"/>
      <c r="J19" s="1254"/>
      <c r="K19" s="1254" t="s">
        <v>974</v>
      </c>
      <c r="L19" s="1254"/>
      <c r="M19" s="1254"/>
      <c r="N19" s="1254"/>
      <c r="O19" s="1254"/>
      <c r="P19" s="1254"/>
      <c r="Q19" s="1254"/>
      <c r="R19" s="1254"/>
      <c r="S19" s="1255"/>
      <c r="U19" s="160"/>
      <c r="V19" s="1250"/>
      <c r="W19" s="1250"/>
      <c r="X19" s="1250"/>
      <c r="Y19" s="1250"/>
      <c r="Z19" s="1250"/>
      <c r="AA19" s="1250"/>
      <c r="AB19" s="1250"/>
      <c r="AC19" s="1250"/>
      <c r="AD19" s="1250"/>
      <c r="AE19" s="1250"/>
      <c r="AF19" s="1250"/>
      <c r="AG19" s="1251"/>
    </row>
    <row r="20" spans="7:43" ht="15.95" customHeight="1">
      <c r="G20" s="163"/>
      <c r="S20" s="161"/>
      <c r="U20" s="160"/>
      <c r="V20" s="1250"/>
      <c r="W20" s="1250"/>
      <c r="X20" s="1250"/>
      <c r="Y20" s="1250"/>
      <c r="Z20" s="1250"/>
      <c r="AA20" s="1250"/>
      <c r="AB20" s="1250"/>
      <c r="AC20" s="1250"/>
      <c r="AD20" s="1250"/>
      <c r="AE20" s="1250"/>
      <c r="AF20" s="1250"/>
      <c r="AG20" s="1251"/>
    </row>
    <row r="21" spans="7:43" ht="15.95" customHeight="1">
      <c r="G21" s="162" t="s">
        <v>976</v>
      </c>
      <c r="H21" s="1250" t="s">
        <v>977</v>
      </c>
      <c r="I21" s="1250"/>
      <c r="J21" s="1250"/>
      <c r="K21" s="1250"/>
      <c r="L21" s="1250"/>
      <c r="M21" s="1250"/>
      <c r="N21" s="1250"/>
      <c r="O21" s="1250"/>
      <c r="P21" s="1250"/>
      <c r="Q21" s="1250"/>
      <c r="R21" s="1250"/>
      <c r="S21" s="1251"/>
      <c r="U21" s="160"/>
      <c r="V21" s="1250"/>
      <c r="W21" s="1250"/>
      <c r="X21" s="1250"/>
      <c r="Y21" s="1250"/>
      <c r="Z21" s="1250"/>
      <c r="AA21" s="1250"/>
      <c r="AB21" s="1250"/>
      <c r="AC21" s="1250"/>
      <c r="AD21" s="1250"/>
      <c r="AE21" s="1250"/>
      <c r="AF21" s="1250"/>
      <c r="AG21" s="1251"/>
      <c r="AI21" s="1263"/>
      <c r="AJ21" s="1263"/>
      <c r="AK21" s="1263"/>
      <c r="AL21" s="1263"/>
      <c r="AM21" s="1263"/>
      <c r="AN21" s="1263"/>
      <c r="AO21" s="1263"/>
      <c r="AP21" s="1263"/>
      <c r="AQ21" s="1263"/>
    </row>
    <row r="22" spans="7:43" ht="15.95" customHeight="1">
      <c r="G22" s="160"/>
      <c r="H22" s="1250"/>
      <c r="I22" s="1250"/>
      <c r="J22" s="1250"/>
      <c r="K22" s="1250"/>
      <c r="L22" s="1250"/>
      <c r="M22" s="1250"/>
      <c r="N22" s="1250"/>
      <c r="O22" s="1250"/>
      <c r="P22" s="1250"/>
      <c r="Q22" s="1250"/>
      <c r="R22" s="1250"/>
      <c r="S22" s="1251"/>
      <c r="U22" s="162" t="s">
        <v>976</v>
      </c>
      <c r="V22" s="1250" t="s">
        <v>978</v>
      </c>
      <c r="W22" s="1250"/>
      <c r="X22" s="1250"/>
      <c r="Y22" s="1250"/>
      <c r="Z22" s="1250"/>
      <c r="AA22" s="1250"/>
      <c r="AB22" s="1250"/>
      <c r="AC22" s="1250"/>
      <c r="AD22" s="1250"/>
      <c r="AE22" s="1250"/>
      <c r="AF22" s="1250"/>
      <c r="AG22" s="1251"/>
      <c r="AI22" s="1263"/>
      <c r="AJ22" s="1263"/>
      <c r="AK22" s="1263"/>
      <c r="AL22" s="1263"/>
      <c r="AM22" s="1263"/>
      <c r="AN22" s="1263"/>
      <c r="AO22" s="1263"/>
      <c r="AP22" s="1263"/>
      <c r="AQ22" s="1263"/>
    </row>
    <row r="23" spans="7:43" ht="15.95" customHeight="1">
      <c r="G23" s="162"/>
      <c r="S23" s="161"/>
      <c r="U23" s="160"/>
      <c r="V23" s="1250"/>
      <c r="W23" s="1250"/>
      <c r="X23" s="1250"/>
      <c r="Y23" s="1250"/>
      <c r="Z23" s="1250"/>
      <c r="AA23" s="1250"/>
      <c r="AB23" s="1250"/>
      <c r="AC23" s="1250"/>
      <c r="AD23" s="1250"/>
      <c r="AE23" s="1250"/>
      <c r="AF23" s="1250"/>
      <c r="AG23" s="1251"/>
      <c r="AI23" s="1263"/>
      <c r="AJ23" s="1263"/>
      <c r="AK23" s="1263"/>
      <c r="AL23" s="1263"/>
      <c r="AM23" s="1263"/>
      <c r="AN23" s="1263"/>
      <c r="AO23" s="1263"/>
      <c r="AP23" s="1263"/>
      <c r="AQ23" s="1263"/>
    </row>
    <row r="24" spans="7:43" ht="15.95" customHeight="1">
      <c r="G24" s="162"/>
      <c r="S24" s="161"/>
      <c r="U24" s="162"/>
      <c r="V24" s="1250"/>
      <c r="W24" s="1250"/>
      <c r="X24" s="1250"/>
      <c r="Y24" s="1250"/>
      <c r="Z24" s="1250"/>
      <c r="AA24" s="1250"/>
      <c r="AB24" s="1250"/>
      <c r="AC24" s="1250"/>
      <c r="AD24" s="1250"/>
      <c r="AE24" s="1250"/>
      <c r="AF24" s="1250"/>
      <c r="AG24" s="1251"/>
      <c r="AI24" s="1262" t="s">
        <v>980</v>
      </c>
      <c r="AJ24" s="1262"/>
      <c r="AK24" s="1262"/>
      <c r="AL24" s="1262"/>
      <c r="AM24" s="1262"/>
      <c r="AN24" s="1262"/>
      <c r="AO24" s="1262"/>
      <c r="AP24" s="1262"/>
      <c r="AQ24" s="1262"/>
    </row>
    <row r="25" spans="7:43" ht="15.95" customHeight="1">
      <c r="G25" s="162"/>
      <c r="S25" s="161"/>
      <c r="U25" s="160"/>
      <c r="V25" s="1250"/>
      <c r="W25" s="1250"/>
      <c r="X25" s="1250"/>
      <c r="Y25" s="1250"/>
      <c r="Z25" s="1250"/>
      <c r="AA25" s="1250"/>
      <c r="AB25" s="1250"/>
      <c r="AC25" s="1250"/>
      <c r="AD25" s="1250"/>
      <c r="AE25" s="1250"/>
      <c r="AF25" s="1250"/>
      <c r="AG25" s="1251"/>
      <c r="AI25" s="1262"/>
      <c r="AJ25" s="1262"/>
      <c r="AK25" s="1262"/>
      <c r="AL25" s="1262"/>
      <c r="AM25" s="1262"/>
      <c r="AN25" s="1262"/>
      <c r="AO25" s="1262"/>
      <c r="AP25" s="1262"/>
      <c r="AQ25" s="1262"/>
    </row>
    <row r="26" spans="7:43" ht="15.95" customHeight="1">
      <c r="G26" s="162"/>
      <c r="I26" s="21"/>
      <c r="J26" s="21"/>
      <c r="K26" s="21"/>
      <c r="L26" s="21"/>
      <c r="M26" s="21"/>
      <c r="N26" s="21"/>
      <c r="O26" s="21"/>
      <c r="P26" s="21"/>
      <c r="Q26" s="21"/>
      <c r="R26" s="21"/>
      <c r="S26" s="161"/>
      <c r="U26" s="160"/>
      <c r="V26" s="1250"/>
      <c r="W26" s="1250"/>
      <c r="X26" s="1250"/>
      <c r="Y26" s="1250"/>
      <c r="Z26" s="1250"/>
      <c r="AA26" s="1250"/>
      <c r="AB26" s="1250"/>
      <c r="AC26" s="1250"/>
      <c r="AD26" s="1250"/>
      <c r="AE26" s="1250"/>
      <c r="AF26" s="1250"/>
      <c r="AG26" s="1251"/>
      <c r="AI26" s="1262"/>
      <c r="AJ26" s="1262"/>
      <c r="AK26" s="1262"/>
      <c r="AL26" s="1262"/>
      <c r="AM26" s="1262"/>
      <c r="AN26" s="1262"/>
      <c r="AO26" s="1262"/>
      <c r="AP26" s="1262"/>
      <c r="AQ26" s="1262"/>
    </row>
    <row r="27" spans="7:43" ht="15.95" customHeight="1">
      <c r="G27" s="162"/>
      <c r="S27" s="161"/>
      <c r="U27" s="162"/>
      <c r="V27" s="1250"/>
      <c r="W27" s="1250"/>
      <c r="X27" s="1250"/>
      <c r="Y27" s="1250"/>
      <c r="Z27" s="1250"/>
      <c r="AA27" s="1250"/>
      <c r="AB27" s="1250"/>
      <c r="AC27" s="1250"/>
      <c r="AD27" s="1250"/>
      <c r="AE27" s="1250"/>
      <c r="AF27" s="1250"/>
      <c r="AG27" s="1251"/>
    </row>
    <row r="28" spans="7:43" ht="15.95" customHeight="1">
      <c r="G28" s="160"/>
      <c r="S28" s="161"/>
      <c r="U28" s="160"/>
      <c r="V28" s="1250"/>
      <c r="W28" s="1250"/>
      <c r="X28" s="1250"/>
      <c r="Y28" s="1250"/>
      <c r="Z28" s="1250"/>
      <c r="AA28" s="1250"/>
      <c r="AB28" s="1250"/>
      <c r="AC28" s="1250"/>
      <c r="AD28" s="1250"/>
      <c r="AE28" s="1250"/>
      <c r="AF28" s="1250"/>
      <c r="AG28" s="1251"/>
    </row>
    <row r="29" spans="7:43" ht="15.95" customHeight="1">
      <c r="G29" s="160"/>
      <c r="S29" s="161"/>
      <c r="U29" s="160"/>
      <c r="V29" s="1250"/>
      <c r="W29" s="1250"/>
      <c r="X29" s="1250"/>
      <c r="Y29" s="1250"/>
      <c r="Z29" s="1250"/>
      <c r="AA29" s="1250"/>
      <c r="AB29" s="1250"/>
      <c r="AC29" s="1250"/>
      <c r="AD29" s="1250"/>
      <c r="AE29" s="1250"/>
      <c r="AF29" s="1250"/>
      <c r="AG29" s="1251"/>
    </row>
    <row r="30" spans="7:43" ht="15.95" customHeight="1">
      <c r="G30" s="160"/>
      <c r="S30" s="161"/>
      <c r="U30" s="160"/>
      <c r="V30" s="1250"/>
      <c r="W30" s="1250"/>
      <c r="X30" s="1250"/>
      <c r="Y30" s="1250"/>
      <c r="Z30" s="1250"/>
      <c r="AA30" s="1250"/>
      <c r="AB30" s="1250"/>
      <c r="AC30" s="1250"/>
      <c r="AD30" s="1250"/>
      <c r="AE30" s="1250"/>
      <c r="AF30" s="1250"/>
      <c r="AG30" s="1251"/>
    </row>
    <row r="31" spans="7:43" ht="15.95" customHeight="1">
      <c r="G31" s="163"/>
      <c r="S31" s="166"/>
      <c r="U31" s="163"/>
      <c r="V31" s="1250"/>
      <c r="W31" s="1250"/>
      <c r="X31" s="1250"/>
      <c r="Y31" s="1250"/>
      <c r="Z31" s="1250"/>
      <c r="AA31" s="1250"/>
      <c r="AB31" s="1250"/>
      <c r="AC31" s="1250"/>
      <c r="AD31" s="1250"/>
      <c r="AE31" s="1250"/>
      <c r="AF31" s="1250"/>
      <c r="AG31" s="1251"/>
    </row>
    <row r="32" spans="7:43" ht="15.95" customHeight="1">
      <c r="G32" s="164"/>
      <c r="H32" s="281"/>
      <c r="I32" s="281"/>
      <c r="J32" s="281"/>
      <c r="K32" s="281"/>
      <c r="L32" s="281"/>
      <c r="M32" s="281"/>
      <c r="N32" s="281"/>
      <c r="O32" s="281"/>
      <c r="P32" s="281"/>
      <c r="Q32" s="281"/>
      <c r="R32" s="281"/>
      <c r="S32" s="165"/>
      <c r="U32" s="167"/>
      <c r="V32" s="1252"/>
      <c r="W32" s="1252"/>
      <c r="X32" s="1252"/>
      <c r="Y32" s="1252"/>
      <c r="Z32" s="1252"/>
      <c r="AA32" s="1252"/>
      <c r="AB32" s="1252"/>
      <c r="AC32" s="1252"/>
      <c r="AD32" s="1252"/>
      <c r="AE32" s="1252"/>
      <c r="AF32" s="1252"/>
      <c r="AG32" s="1253"/>
    </row>
    <row r="33" spans="6:41" ht="15.95" customHeight="1"/>
    <row r="34" spans="6:41" ht="15.95" hidden="1" customHeight="1"/>
    <row r="35" spans="6:41" ht="15.95" hidden="1" customHeight="1"/>
    <row r="36" spans="6:41" ht="15.95" hidden="1" customHeight="1">
      <c r="Z36" s="21"/>
      <c r="AA36" s="21"/>
      <c r="AB36" s="21"/>
      <c r="AC36" s="21"/>
      <c r="AM36" s="21"/>
      <c r="AN36" s="21"/>
      <c r="AO36" s="21"/>
    </row>
    <row r="37" spans="6:41" ht="15.95" hidden="1" customHeight="1">
      <c r="Z37" s="21"/>
      <c r="AA37" s="21"/>
      <c r="AB37" s="21"/>
      <c r="AC37" s="21"/>
      <c r="AD37" s="21"/>
      <c r="AE37" s="21"/>
      <c r="AF37" s="21"/>
      <c r="AG37" s="21"/>
      <c r="AH37" s="21"/>
      <c r="AI37" s="21"/>
      <c r="AJ37" s="21"/>
      <c r="AK37" s="21"/>
      <c r="AL37" s="21"/>
      <c r="AM37" s="21"/>
      <c r="AN37" s="21"/>
      <c r="AO37" s="21"/>
    </row>
    <row r="38" spans="6:41" ht="15.95" hidden="1" customHeight="1">
      <c r="F38" s="84"/>
      <c r="G38" s="84"/>
      <c r="H38" s="84"/>
      <c r="I38" s="84"/>
      <c r="J38" s="84"/>
      <c r="K38" s="84"/>
      <c r="L38" s="84"/>
      <c r="M38" s="84"/>
      <c r="N38" s="84"/>
      <c r="O38" s="84"/>
      <c r="P38" s="84"/>
      <c r="Q38" s="84"/>
      <c r="R38" s="84"/>
      <c r="S38" s="84"/>
      <c r="T38" s="84"/>
      <c r="U38" s="84"/>
      <c r="V38" s="84"/>
      <c r="W38" s="84"/>
      <c r="X38" s="84"/>
      <c r="Y38" s="84"/>
      <c r="Z38" s="21"/>
      <c r="AA38" s="21"/>
      <c r="AB38" s="21"/>
      <c r="AC38" s="21"/>
      <c r="AD38" s="21"/>
      <c r="AE38" s="21"/>
      <c r="AF38" s="21"/>
      <c r="AG38" s="21"/>
      <c r="AH38" s="21"/>
      <c r="AI38" s="21"/>
      <c r="AJ38" s="21"/>
      <c r="AK38" s="21"/>
      <c r="AL38" s="21"/>
      <c r="AM38" s="21"/>
      <c r="AN38" s="21"/>
      <c r="AO38" s="21"/>
    </row>
    <row r="39" spans="6:41" ht="15.95" hidden="1" customHeight="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row>
    <row r="40" spans="6:41" ht="15.95" hidden="1" customHeight="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row>
    <row r="41" spans="6:41" ht="15.95" hidden="1" customHeight="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row>
    <row r="42" spans="6:41" ht="15.95" hidden="1" customHeight="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row>
    <row r="43" spans="6:41" ht="15.95" hidden="1" customHeight="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row>
    <row r="44" spans="6:41" ht="15.95" hidden="1" customHeight="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row>
    <row r="45" spans="6:41" ht="15.95" hidden="1" customHeight="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row>
    <row r="46" spans="6:41" ht="15.95" hidden="1" customHeight="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row>
    <row r="47" spans="6:41" ht="15.95" hidden="1" customHeight="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row>
    <row r="48" spans="6:41" ht="15.95" hidden="1" customHeight="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row>
    <row r="49" spans="6:41" ht="15.95" hidden="1" customHeight="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row>
    <row r="50" spans="6:41" ht="15.95" hidden="1" customHeight="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row>
    <row r="51" spans="6:41" ht="15.95" hidden="1" customHeight="1">
      <c r="Z51" s="21"/>
      <c r="AA51" s="21"/>
      <c r="AB51" s="21"/>
      <c r="AC51" s="21"/>
      <c r="AD51" s="21"/>
      <c r="AE51" s="21"/>
      <c r="AF51" s="21"/>
      <c r="AG51" s="21"/>
      <c r="AH51" s="21"/>
      <c r="AI51" s="21"/>
      <c r="AJ51" s="21"/>
      <c r="AK51" s="21"/>
      <c r="AL51" s="21"/>
      <c r="AM51" s="21"/>
      <c r="AN51" s="21"/>
      <c r="AO51" s="21"/>
    </row>
    <row r="52" spans="6:41" ht="15.95" hidden="1" customHeight="1">
      <c r="Z52" s="21"/>
    </row>
    <row r="53" spans="6:41" ht="15.95" hidden="1" customHeight="1">
      <c r="Z53" s="21"/>
    </row>
    <row r="54" spans="6:41" ht="15.95" hidden="1" customHeight="1">
      <c r="Z54" s="21"/>
    </row>
    <row r="55" spans="6:41" ht="15.95" hidden="1" customHeight="1"/>
    <row r="56" spans="6:41" ht="15.95" hidden="1" customHeight="1"/>
    <row r="57" spans="6:41" ht="15.95" hidden="1" customHeight="1"/>
    <row r="58" spans="6:41" ht="15.95" hidden="1" customHeight="1"/>
    <row r="59" spans="6:41" ht="15.95" hidden="1" customHeight="1"/>
    <row r="60" spans="6:41" ht="15.95" hidden="1" customHeight="1"/>
    <row r="61" spans="6:41" ht="15.95" hidden="1" customHeight="1"/>
    <row r="62" spans="6:41" ht="15.95" hidden="1" customHeight="1"/>
    <row r="63" spans="6:41" ht="15.95" hidden="1" customHeight="1"/>
    <row r="64" spans="6:41"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row r="203" spans="1:49" ht="15.95" hidden="1" customHeight="1"/>
  </sheetData>
  <sheetProtection algorithmName="SHA-512" hashValue="QWXsaxBA/a8LZYIreNwUKtu3dDAJPjH0qXZV3MDvB3+CNnY5eP1EgISYtwAsQhdPML+MNJ24xjyMtTHfnrjRkw==" saltValue="dg9tMjS+Li2D6OXPIdU4bA==" spinCount="100000" sheet="1" objects="1" scenarios="1" selectLockedCells="1"/>
  <mergeCells count="29">
    <mergeCell ref="AT1:AW3"/>
    <mergeCell ref="F1:I3"/>
    <mergeCell ref="J1:M3"/>
    <mergeCell ref="O1:AE3"/>
    <mergeCell ref="AL1:AO3"/>
    <mergeCell ref="AP1:AS3"/>
    <mergeCell ref="AI24:AQ26"/>
    <mergeCell ref="A8:E8"/>
    <mergeCell ref="AQ8:AU8"/>
    <mergeCell ref="A5:E6"/>
    <mergeCell ref="AQ5:AU6"/>
    <mergeCell ref="A7:E7"/>
    <mergeCell ref="AQ7:AU7"/>
    <mergeCell ref="A9:AW10"/>
    <mergeCell ref="AI21:AQ23"/>
    <mergeCell ref="V27:AG32"/>
    <mergeCell ref="M200:AG201"/>
    <mergeCell ref="H19:J19"/>
    <mergeCell ref="K19:S19"/>
    <mergeCell ref="G12:S12"/>
    <mergeCell ref="U12:AG12"/>
    <mergeCell ref="V14:AG16"/>
    <mergeCell ref="V17:AG21"/>
    <mergeCell ref="H17:J17"/>
    <mergeCell ref="K17:S17"/>
    <mergeCell ref="H18:J18"/>
    <mergeCell ref="K18:S18"/>
    <mergeCell ref="V22:AG26"/>
    <mergeCell ref="H21:S22"/>
  </mergeCells>
  <conditionalFormatting sqref="AQ8:AW8">
    <cfRule type="expression" dxfId="33" priority="1742">
      <formula>IF($AQ$8=PROJSTATMEASURE,FALSE,TRUE)</formula>
    </cfRule>
  </conditionalFormatting>
  <hyperlinks>
    <hyperlink ref="B202" r:id="rId1" display="businessrebates@evergy.com" xr:uid="{299CAD2A-F187-4B58-AD59-95F947CB7979}"/>
  </hyperlinks>
  <printOptions horizontalCentered="1"/>
  <pageMargins left="0" right="0" top="0" bottom="0" header="0" footer="0"/>
  <pageSetup scale="4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E0AA2-997A-425F-8B30-CA7470CCF57F}">
  <sheetPr codeName="Sheet76">
    <tabColor theme="9" tint="0.59999389629810485"/>
    <pageSetUpPr fitToPage="1"/>
  </sheetPr>
  <dimension ref="A1:BA202"/>
  <sheetViews>
    <sheetView showGridLines="0" showRowColHeaders="0" zoomScale="85" zoomScaleNormal="85" workbookViewId="0"/>
  </sheetViews>
  <sheetFormatPr defaultColWidth="0" defaultRowHeight="15" customHeight="1" zeroHeight="1"/>
  <cols>
    <col min="1" max="49" width="4.7109375" customWidth="1"/>
    <col min="50" max="52" width="4.7109375" hidden="1"/>
    <col min="53" max="53" width="9.7109375" hidden="1"/>
    <col min="54" max="16384" width="4.710937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B4" s="199"/>
      <c r="C4" s="199"/>
      <c r="D4" s="199"/>
      <c r="E4" s="199"/>
    </row>
    <row r="5" spans="1:49" ht="15.95" customHeight="1">
      <c r="A5" s="667">
        <f>INCENTOTAL_N</f>
        <v>0</v>
      </c>
      <c r="B5" s="667"/>
      <c r="C5" s="667"/>
      <c r="D5" s="667"/>
      <c r="E5" s="667"/>
      <c r="AQ5" s="668">
        <f ca="1">PROGRESSSTATUS_N</f>
        <v>0</v>
      </c>
      <c r="AR5" s="668"/>
      <c r="AS5" s="668"/>
      <c r="AT5" s="668"/>
      <c r="AU5" s="668"/>
      <c r="AV5" s="557"/>
      <c r="AW5" s="557"/>
    </row>
    <row r="6" spans="1:49" ht="15.95" customHeight="1">
      <c r="A6" s="667"/>
      <c r="B6" s="667"/>
      <c r="C6" s="667"/>
      <c r="D6" s="667"/>
      <c r="E6" s="667"/>
      <c r="AQ6" s="668"/>
      <c r="AR6" s="668"/>
      <c r="AS6" s="668"/>
      <c r="AT6" s="668"/>
      <c r="AU6" s="668"/>
      <c r="AV6" s="557"/>
      <c r="AW6" s="557"/>
    </row>
    <row r="7" spans="1:49" ht="15.95" customHeight="1">
      <c r="A7" s="665" t="s">
        <v>20</v>
      </c>
      <c r="B7" s="665"/>
      <c r="C7" s="665"/>
      <c r="D7" s="665"/>
      <c r="E7" s="665"/>
      <c r="AQ7" s="665" t="s">
        <v>179</v>
      </c>
      <c r="AR7" s="665"/>
      <c r="AS7" s="665"/>
      <c r="AT7" s="665"/>
      <c r="AU7" s="665"/>
      <c r="AV7" s="556"/>
      <c r="AW7" s="556"/>
    </row>
    <row r="8" spans="1:49" ht="15.95" customHeight="1" thickBot="1">
      <c r="A8" s="665"/>
      <c r="B8" s="665"/>
      <c r="C8" s="665"/>
      <c r="D8" s="665"/>
      <c r="E8" s="665"/>
      <c r="AQ8" s="674" t="str">
        <f ca="1">PROJSTATUS_N</f>
        <v>Enter Measures</v>
      </c>
      <c r="AR8" s="674"/>
      <c r="AS8" s="674"/>
      <c r="AT8" s="674"/>
      <c r="AU8" s="674"/>
      <c r="AV8" s="558"/>
      <c r="AW8" s="558"/>
    </row>
    <row r="9" spans="1:49" ht="15.95" customHeight="1">
      <c r="A9" s="636" t="str">
        <f>N5S3</f>
        <v>Project Summary</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49" ht="15.95" customHeight="1">
      <c r="A11" s="97"/>
      <c r="B11" s="97"/>
      <c r="C11" s="97"/>
      <c r="D11" s="97"/>
      <c r="E11" s="97"/>
      <c r="F11" s="97"/>
      <c r="G11" s="97"/>
      <c r="H11" s="97"/>
      <c r="J11" s="1299" t="s">
        <v>1352</v>
      </c>
      <c r="K11" s="1299"/>
      <c r="L11" s="1299"/>
      <c r="M11" s="1299"/>
      <c r="N11" s="1299"/>
      <c r="O11" s="1299"/>
      <c r="P11" s="1299"/>
      <c r="Q11" s="1300" t="s">
        <v>1353</v>
      </c>
      <c r="R11" s="1300"/>
      <c r="S11" s="1300"/>
      <c r="T11" s="1300"/>
      <c r="U11" s="1300"/>
      <c r="V11" s="1300"/>
      <c r="W11" s="1300"/>
      <c r="X11" s="1300"/>
      <c r="Y11" s="1300"/>
      <c r="Z11" s="1300"/>
      <c r="AA11" s="1300"/>
      <c r="AB11" s="1300"/>
      <c r="AC11" s="1300"/>
      <c r="AD11" s="1300"/>
      <c r="AE11" s="1300"/>
      <c r="AF11" s="1300"/>
      <c r="AG11" s="1300"/>
      <c r="AH11" s="1300"/>
      <c r="AI11" s="1300"/>
      <c r="AJ11" s="1300"/>
      <c r="AK11" s="282"/>
      <c r="AL11" s="97"/>
      <c r="AM11" s="218"/>
      <c r="AN11" s="218"/>
    </row>
    <row r="12" spans="1:49" ht="15.95" customHeight="1">
      <c r="J12" s="1299"/>
      <c r="K12" s="1299"/>
      <c r="L12" s="1299"/>
      <c r="M12" s="1299"/>
      <c r="N12" s="1299"/>
      <c r="O12" s="1299"/>
      <c r="P12" s="1299"/>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282"/>
      <c r="AL12" s="179"/>
      <c r="AM12" s="218"/>
      <c r="AN12" s="218"/>
      <c r="AO12" s="21"/>
    </row>
    <row r="13" spans="1:49" ht="15.95" customHeight="1">
      <c r="J13" s="1299"/>
      <c r="K13" s="1299"/>
      <c r="L13" s="1299"/>
      <c r="M13" s="1299"/>
      <c r="N13" s="1299"/>
      <c r="O13" s="1299"/>
      <c r="P13" s="1299"/>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282"/>
      <c r="AL13" s="179"/>
      <c r="AM13" s="278"/>
      <c r="AN13" s="278"/>
      <c r="AO13" s="21"/>
    </row>
    <row r="14" spans="1:49" ht="15.95" customHeight="1">
      <c r="X14" s="179"/>
      <c r="Y14" s="179"/>
      <c r="Z14" s="179"/>
      <c r="AA14" s="179"/>
      <c r="AB14" s="179"/>
      <c r="AC14" s="179"/>
      <c r="AD14" s="179"/>
      <c r="AE14" s="179"/>
      <c r="AF14" s="179"/>
      <c r="AG14" s="179"/>
      <c r="AH14" s="179"/>
      <c r="AI14" s="179"/>
      <c r="AJ14" s="179"/>
      <c r="AK14" s="179"/>
      <c r="AL14" s="179"/>
      <c r="AM14" s="179"/>
      <c r="AN14" s="179"/>
      <c r="AO14" s="179"/>
      <c r="AP14" s="179"/>
      <c r="AQ14" s="179"/>
      <c r="AR14" s="179"/>
    </row>
    <row r="15" spans="1:49" ht="15.95" customHeight="1">
      <c r="I15" s="41"/>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42"/>
      <c r="AR15" s="21"/>
    </row>
    <row r="16" spans="1:49" ht="15.95" customHeight="1">
      <c r="I16" s="27"/>
      <c r="J16" s="1301" t="s">
        <v>1209</v>
      </c>
      <c r="K16" s="1301"/>
      <c r="L16" s="1301"/>
      <c r="M16" s="1301"/>
      <c r="N16" s="1301"/>
      <c r="O16" s="1301"/>
      <c r="P16" s="1301"/>
      <c r="Q16" s="1301"/>
      <c r="R16" s="1301"/>
      <c r="S16" s="1301"/>
      <c r="T16" s="1301"/>
      <c r="U16" s="1301"/>
      <c r="V16" s="1301"/>
      <c r="W16" s="1301"/>
      <c r="X16" s="1301"/>
      <c r="Y16" s="1301"/>
      <c r="Z16" s="1301"/>
      <c r="AA16" s="1301"/>
      <c r="AB16" s="1301"/>
      <c r="AC16" s="234"/>
      <c r="AD16" s="235"/>
      <c r="AE16" s="235"/>
      <c r="AF16" s="236"/>
      <c r="AG16" s="236"/>
      <c r="AH16" s="236"/>
      <c r="AI16" s="236"/>
      <c r="AJ16" s="237"/>
      <c r="AK16" s="51"/>
      <c r="AL16" s="49"/>
      <c r="AR16" s="21"/>
    </row>
    <row r="17" spans="2:44" ht="15.95" customHeight="1">
      <c r="B17" s="21"/>
      <c r="I17" s="27"/>
      <c r="J17" s="1301"/>
      <c r="K17" s="1301"/>
      <c r="L17" s="1301"/>
      <c r="M17" s="1301"/>
      <c r="N17" s="1301"/>
      <c r="O17" s="1301"/>
      <c r="P17" s="1301"/>
      <c r="Q17" s="1301"/>
      <c r="R17" s="1301"/>
      <c r="S17" s="1301"/>
      <c r="T17" s="1301"/>
      <c r="U17" s="1301"/>
      <c r="V17" s="1301"/>
      <c r="W17" s="1301"/>
      <c r="X17" s="1301"/>
      <c r="Y17" s="1301"/>
      <c r="Z17" s="1301"/>
      <c r="AA17" s="1301"/>
      <c r="AB17" s="1301"/>
      <c r="AC17" s="238"/>
      <c r="AD17" s="295"/>
      <c r="AE17" s="295"/>
      <c r="AF17" s="296"/>
      <c r="AG17" s="296"/>
      <c r="AH17" s="296"/>
      <c r="AI17" s="296"/>
      <c r="AJ17" s="239"/>
      <c r="AK17" s="51"/>
      <c r="AL17" s="49"/>
    </row>
    <row r="18" spans="2:44" ht="15.95" customHeight="1">
      <c r="B18" s="21"/>
      <c r="I18" s="27"/>
      <c r="J18" s="1301"/>
      <c r="K18" s="1301"/>
      <c r="L18" s="1301"/>
      <c r="M18" s="1301"/>
      <c r="N18" s="1301"/>
      <c r="O18" s="1301"/>
      <c r="P18" s="1301"/>
      <c r="Q18" s="1301"/>
      <c r="R18" s="1301"/>
      <c r="S18" s="1301"/>
      <c r="T18" s="1301"/>
      <c r="U18" s="1301"/>
      <c r="V18" s="1301"/>
      <c r="W18" s="1301"/>
      <c r="X18" s="1301"/>
      <c r="Y18" s="1301"/>
      <c r="Z18" s="1301"/>
      <c r="AA18" s="1301"/>
      <c r="AB18" s="1301"/>
      <c r="AC18" s="238"/>
      <c r="AD18" s="295"/>
      <c r="AE18" s="295"/>
      <c r="AF18" s="296"/>
      <c r="AG18" s="296"/>
      <c r="AH18" s="296"/>
      <c r="AI18" s="296"/>
      <c r="AJ18" s="239"/>
      <c r="AK18" s="51"/>
      <c r="AL18" s="49"/>
    </row>
    <row r="19" spans="2:44" ht="15.95" customHeight="1">
      <c r="B19" s="21"/>
      <c r="I19" s="27"/>
      <c r="J19" s="1301"/>
      <c r="K19" s="1301"/>
      <c r="L19" s="1301"/>
      <c r="M19" s="1301"/>
      <c r="N19" s="1301"/>
      <c r="O19" s="1301"/>
      <c r="P19" s="1301"/>
      <c r="Q19" s="1301"/>
      <c r="R19" s="1301"/>
      <c r="S19" s="1301"/>
      <c r="T19" s="1301"/>
      <c r="U19" s="1301"/>
      <c r="V19" s="1301"/>
      <c r="W19" s="1301"/>
      <c r="X19" s="1301"/>
      <c r="Y19" s="1301"/>
      <c r="Z19" s="1301"/>
      <c r="AA19" s="1301"/>
      <c r="AB19" s="1301"/>
      <c r="AC19" s="240"/>
      <c r="AD19" s="241"/>
      <c r="AE19" s="241"/>
      <c r="AF19" s="242"/>
      <c r="AG19" s="242"/>
      <c r="AH19" s="242"/>
      <c r="AI19" s="242"/>
      <c r="AJ19" s="243"/>
      <c r="AK19" s="51"/>
      <c r="AL19" s="49"/>
    </row>
    <row r="20" spans="2:44" ht="15.95" customHeight="1">
      <c r="B20" s="21"/>
      <c r="I20" s="27"/>
      <c r="J20" s="1302" t="str">
        <f>IF(N02S03F01="","",N02S03F01)</f>
        <v/>
      </c>
      <c r="K20" s="1302"/>
      <c r="L20" s="1302"/>
      <c r="M20" s="1302"/>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46"/>
    </row>
    <row r="21" spans="2:44" ht="15.95" customHeight="1">
      <c r="B21" s="21"/>
      <c r="I21" s="27"/>
      <c r="J21" s="1302"/>
      <c r="K21" s="1302"/>
      <c r="L21" s="1302"/>
      <c r="M21" s="1302"/>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46"/>
    </row>
    <row r="22" spans="2:44" ht="15.95" customHeight="1">
      <c r="B22" s="21"/>
      <c r="I22" s="27"/>
      <c r="J22" s="55" t="s">
        <v>1051</v>
      </c>
      <c r="K22" s="21"/>
      <c r="L22" s="21"/>
      <c r="M22" s="21"/>
      <c r="N22" s="21"/>
      <c r="O22" s="1297" t="str">
        <f>IF(N02S03F26="","",N02S03F26)</f>
        <v/>
      </c>
      <c r="P22" s="1297"/>
      <c r="Q22" s="1297"/>
      <c r="R22" s="1297"/>
      <c r="S22" s="1297"/>
      <c r="T22" s="1297"/>
      <c r="U22" s="1297"/>
      <c r="V22" s="1297"/>
      <c r="W22" s="1297"/>
      <c r="X22" s="1297"/>
      <c r="Y22" s="57" t="s">
        <v>1047</v>
      </c>
      <c r="AA22" s="180"/>
      <c r="AB22" s="1297" t="str">
        <f>IF(N02S02F01="","",N02S02F01)</f>
        <v/>
      </c>
      <c r="AC22" s="1297"/>
      <c r="AD22" s="1297"/>
      <c r="AE22" s="1297"/>
      <c r="AF22" s="1297"/>
      <c r="AG22" s="1297"/>
      <c r="AH22" s="1297"/>
      <c r="AI22" s="1297"/>
      <c r="AJ22" s="1297"/>
      <c r="AK22" s="46"/>
    </row>
    <row r="23" spans="2:44" ht="15.95" customHeight="1">
      <c r="B23" s="21"/>
      <c r="I23" s="27"/>
      <c r="J23" s="55" t="s">
        <v>717</v>
      </c>
      <c r="K23" s="56"/>
      <c r="L23" s="56"/>
      <c r="O23" s="1297" t="str">
        <f>IF(OR(N02S03F16="",N02S03F17="",N02S03F18="",N02S03F19=""),"",CONCATENATE(N02S03F16,", ",N02S03F17, ", ", N02S03F18, " ", N02S03F19 ))</f>
        <v/>
      </c>
      <c r="P23" s="1297"/>
      <c r="Q23" s="1297"/>
      <c r="R23" s="1297"/>
      <c r="S23" s="1297"/>
      <c r="T23" s="1297"/>
      <c r="U23" s="1297"/>
      <c r="V23" s="1297"/>
      <c r="W23" s="1297"/>
      <c r="X23" s="1297"/>
      <c r="Y23" s="57" t="s">
        <v>1048</v>
      </c>
      <c r="AA23" s="56"/>
      <c r="AB23" s="1297" t="str">
        <f>IF(OR(N02S02F02="",N02S02F03="",N02S02F04="",N02S02F05=""),"",CONCATENATE(N02S02F02,", ",N02S02F03, ", ", N02S02F04, " ", N02S02F05 ))</f>
        <v/>
      </c>
      <c r="AC23" s="1297"/>
      <c r="AD23" s="1297"/>
      <c r="AE23" s="1297"/>
      <c r="AF23" s="1297"/>
      <c r="AG23" s="1297"/>
      <c r="AH23" s="1297"/>
      <c r="AI23" s="1297"/>
      <c r="AJ23" s="1297"/>
      <c r="AK23" s="46"/>
    </row>
    <row r="24" spans="2:44" ht="15.95" customHeight="1">
      <c r="B24" s="21"/>
      <c r="I24" s="27"/>
      <c r="J24" s="55" t="s">
        <v>718</v>
      </c>
      <c r="O24" s="1297" t="str">
        <f>PROPER(N02S03F21&amp;" "&amp;N02S03F22)</f>
        <v xml:space="preserve"> </v>
      </c>
      <c r="P24" s="1297"/>
      <c r="Q24" s="1297"/>
      <c r="R24" s="1297"/>
      <c r="S24" s="1297"/>
      <c r="T24" s="1297"/>
      <c r="U24" s="1297"/>
      <c r="V24" s="1297"/>
      <c r="W24" s="1297"/>
      <c r="X24" s="1297"/>
      <c r="Y24" s="57" t="s">
        <v>718</v>
      </c>
      <c r="AA24" s="56"/>
      <c r="AB24" s="1297" t="str">
        <f>PROPER(N02S02F06&amp;" "&amp;N02S02F07)</f>
        <v xml:space="preserve"> </v>
      </c>
      <c r="AC24" s="1297"/>
      <c r="AD24" s="1297"/>
      <c r="AE24" s="1297"/>
      <c r="AF24" s="1297"/>
      <c r="AG24" s="1297"/>
      <c r="AH24" s="1297"/>
      <c r="AI24" s="1297"/>
      <c r="AJ24" s="1297"/>
      <c r="AK24" s="46"/>
    </row>
    <row r="25" spans="2:44" ht="15.95" customHeight="1">
      <c r="B25" s="21"/>
      <c r="I25" s="27"/>
      <c r="J25" s="55" t="s">
        <v>1049</v>
      </c>
      <c r="O25" s="1298" t="str">
        <f>IF(N02S03F24="","",N02S03F24)</f>
        <v/>
      </c>
      <c r="P25" s="1298"/>
      <c r="Q25" s="1298"/>
      <c r="R25" s="1298"/>
      <c r="S25" s="1298"/>
      <c r="T25" s="1298"/>
      <c r="U25" s="1298"/>
      <c r="V25" s="1298"/>
      <c r="W25" s="1298"/>
      <c r="X25" s="1298"/>
      <c r="Y25" s="57" t="s">
        <v>719</v>
      </c>
      <c r="AA25" s="56"/>
      <c r="AB25" s="1298">
        <f>N02S02F09</f>
        <v>0</v>
      </c>
      <c r="AC25" s="1298"/>
      <c r="AD25" s="1298"/>
      <c r="AE25" s="1298"/>
      <c r="AF25" s="1298"/>
      <c r="AG25" s="1298"/>
      <c r="AH25" s="1298"/>
      <c r="AI25" s="1298"/>
      <c r="AJ25" s="1298"/>
      <c r="AK25" s="46"/>
    </row>
    <row r="26" spans="2:44" ht="15.95" customHeight="1">
      <c r="B26" s="21"/>
      <c r="I26" s="27"/>
      <c r="J26" s="55" t="s">
        <v>1050</v>
      </c>
      <c r="O26" s="1297" t="str">
        <f>IF(N02S03F25="","",N02S03F25)</f>
        <v/>
      </c>
      <c r="P26" s="1297"/>
      <c r="Q26" s="1297"/>
      <c r="R26" s="1297"/>
      <c r="S26" s="1297"/>
      <c r="T26" s="1297"/>
      <c r="U26" s="1297"/>
      <c r="V26" s="1297"/>
      <c r="W26" s="1297"/>
      <c r="X26" s="1297"/>
      <c r="Y26" s="57" t="s">
        <v>724</v>
      </c>
      <c r="Z26" s="21"/>
      <c r="AA26" s="21"/>
      <c r="AB26" s="1298" t="str">
        <f>IF(N02S02F10="","",N02S02F10)</f>
        <v/>
      </c>
      <c r="AC26" s="1298"/>
      <c r="AD26" s="1298"/>
      <c r="AE26" s="1298"/>
      <c r="AF26" s="1298"/>
      <c r="AG26" s="1298"/>
      <c r="AH26" s="1298"/>
      <c r="AI26" s="1298"/>
      <c r="AJ26" s="1298"/>
      <c r="AK26" s="46"/>
    </row>
    <row r="27" spans="2:44" ht="15.95" customHeight="1">
      <c r="B27" s="21"/>
      <c r="I27" s="27"/>
      <c r="AK27" s="46"/>
      <c r="AR27" s="21"/>
    </row>
    <row r="28" spans="2:44" ht="15.95" customHeight="1" thickBot="1">
      <c r="B28" s="21"/>
      <c r="I28" s="27"/>
      <c r="AK28" s="46"/>
      <c r="AR28" s="21"/>
    </row>
    <row r="29" spans="2:44" ht="15.95" customHeight="1" thickBot="1">
      <c r="B29" s="21"/>
      <c r="I29" s="27"/>
      <c r="J29" s="244"/>
      <c r="K29" s="1293" t="s">
        <v>720</v>
      </c>
      <c r="L29" s="1294"/>
      <c r="M29" s="1294"/>
      <c r="N29" s="1294"/>
      <c r="O29" s="1294"/>
      <c r="P29" s="1294"/>
      <c r="Q29" s="1294"/>
      <c r="R29" s="1294"/>
      <c r="S29" s="1294"/>
      <c r="T29" s="1294"/>
      <c r="U29" s="1294"/>
      <c r="V29" s="1294"/>
      <c r="W29" s="1294"/>
      <c r="X29" s="1294"/>
      <c r="Y29" s="1294"/>
      <c r="Z29" s="1294"/>
      <c r="AA29" s="1294"/>
      <c r="AB29" s="1294"/>
      <c r="AC29" s="1294"/>
      <c r="AD29" s="1292" t="str">
        <f ca="1">IFERROR(IF(KWHSTATUS_N*N02S03F14=0,"---",KWHSTATUS_N*N02S03F14*5),"---")</f>
        <v>---</v>
      </c>
      <c r="AE29" s="1290"/>
      <c r="AF29" s="1290"/>
      <c r="AG29" s="1290"/>
      <c r="AH29" s="1290"/>
      <c r="AI29" s="1290"/>
      <c r="AJ29" s="1290"/>
      <c r="AK29" s="46"/>
      <c r="AR29" s="21"/>
    </row>
    <row r="30" spans="2:44" ht="15.95" customHeight="1" thickBot="1">
      <c r="B30" s="21"/>
      <c r="I30" s="27"/>
      <c r="J30" s="245"/>
      <c r="K30" s="1293"/>
      <c r="L30" s="1294"/>
      <c r="M30" s="1294"/>
      <c r="N30" s="1294"/>
      <c r="O30" s="1294"/>
      <c r="P30" s="1294"/>
      <c r="Q30" s="1294"/>
      <c r="R30" s="1294"/>
      <c r="S30" s="1294"/>
      <c r="T30" s="1294"/>
      <c r="U30" s="1294"/>
      <c r="V30" s="1294"/>
      <c r="W30" s="1294"/>
      <c r="X30" s="1294"/>
      <c r="Y30" s="1294"/>
      <c r="Z30" s="1294"/>
      <c r="AA30" s="1294"/>
      <c r="AB30" s="1294"/>
      <c r="AC30" s="1294"/>
      <c r="AD30" s="1290"/>
      <c r="AE30" s="1290"/>
      <c r="AF30" s="1290"/>
      <c r="AG30" s="1290"/>
      <c r="AH30" s="1290"/>
      <c r="AI30" s="1290"/>
      <c r="AJ30" s="1290"/>
      <c r="AK30" s="46"/>
      <c r="AR30" s="21"/>
    </row>
    <row r="31" spans="2:44" ht="15.95" customHeight="1" thickBot="1">
      <c r="B31" s="21"/>
      <c r="I31" s="27"/>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46"/>
      <c r="AR31" s="21"/>
    </row>
    <row r="32" spans="2:44" ht="15.95" customHeight="1">
      <c r="B32" s="21"/>
      <c r="I32" s="27"/>
      <c r="J32" s="1264" t="s">
        <v>6</v>
      </c>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46"/>
      <c r="AR32" s="21"/>
    </row>
    <row r="33" spans="2:44" ht="15.95" customHeight="1">
      <c r="B33" s="21"/>
      <c r="I33" s="27"/>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46"/>
      <c r="AR33" s="21"/>
    </row>
    <row r="34" spans="2:44" ht="15.95" customHeight="1">
      <c r="B34" s="21"/>
      <c r="I34" s="27"/>
      <c r="J34" s="21"/>
      <c r="K34" s="21"/>
      <c r="L34" s="21"/>
      <c r="M34" s="21"/>
      <c r="N34" s="21"/>
      <c r="O34" s="21"/>
      <c r="P34" s="21"/>
      <c r="Q34" s="21"/>
      <c r="R34" s="21"/>
      <c r="S34" s="21"/>
      <c r="T34" s="21"/>
      <c r="U34" s="958"/>
      <c r="V34" s="958"/>
      <c r="W34" s="958"/>
      <c r="X34" s="958"/>
      <c r="Y34" s="958"/>
      <c r="Z34" s="21"/>
      <c r="AA34" s="21"/>
      <c r="AB34" s="21"/>
      <c r="AC34" s="21"/>
      <c r="AD34" s="21"/>
      <c r="AE34" s="21"/>
      <c r="AF34" s="21"/>
      <c r="AG34" s="21"/>
      <c r="AH34" s="21"/>
      <c r="AI34" s="21"/>
      <c r="AJ34" s="21"/>
      <c r="AK34" s="46"/>
      <c r="AR34" s="21"/>
    </row>
    <row r="35" spans="2:44" ht="15.95" customHeight="1">
      <c r="B35" s="21"/>
      <c r="I35" s="27"/>
      <c r="J35" s="21"/>
      <c r="L35" s="21"/>
      <c r="R35" s="21"/>
      <c r="S35" s="21"/>
      <c r="T35" s="21"/>
      <c r="U35" s="958"/>
      <c r="V35" s="958"/>
      <c r="W35" s="958"/>
      <c r="X35" s="958"/>
      <c r="Y35" s="958"/>
      <c r="Z35" s="21"/>
      <c r="AA35" s="21"/>
      <c r="AB35" s="50"/>
      <c r="AC35" s="50"/>
      <c r="AF35" s="50"/>
      <c r="AG35" s="50"/>
      <c r="AH35" s="50"/>
      <c r="AI35" s="50"/>
      <c r="AJ35" s="21"/>
      <c r="AK35" s="46"/>
      <c r="AR35" s="21"/>
    </row>
    <row r="36" spans="2:44" ht="15.95" customHeight="1">
      <c r="B36" s="21"/>
      <c r="I36" s="27"/>
      <c r="K36" s="1295" t="str">
        <f ca="1">IFERROR(IF(KWHSTATUS_N*N02S03F14=0,"---",KWHSTATUS_N*N02S03F14),"---")</f>
        <v>---</v>
      </c>
      <c r="L36" s="1295"/>
      <c r="M36" s="1295"/>
      <c r="N36" s="1295"/>
      <c r="O36" s="1295"/>
      <c r="P36" s="1295"/>
      <c r="Q36" s="1295"/>
      <c r="R36" s="1295"/>
      <c r="S36" s="1295"/>
      <c r="T36" s="1295"/>
      <c r="U36" s="958"/>
      <c r="V36" s="958"/>
      <c r="W36" s="958"/>
      <c r="X36" s="958"/>
      <c r="Y36" s="958"/>
      <c r="Z36" s="1295" t="str">
        <f>IF(INCENTOTAL_N=0,"---",INCENTOTAL_N)</f>
        <v>---</v>
      </c>
      <c r="AA36" s="1295"/>
      <c r="AB36" s="1295"/>
      <c r="AC36" s="1295"/>
      <c r="AD36" s="1295"/>
      <c r="AE36" s="1295"/>
      <c r="AF36" s="1295"/>
      <c r="AG36" s="1295"/>
      <c r="AH36" s="1295"/>
      <c r="AI36" s="1295"/>
      <c r="AK36" s="46"/>
    </row>
    <row r="37" spans="2:44" ht="15.95" customHeight="1">
      <c r="B37" s="21"/>
      <c r="I37" s="27"/>
      <c r="K37" s="1295"/>
      <c r="L37" s="1295"/>
      <c r="M37" s="1295"/>
      <c r="N37" s="1295"/>
      <c r="O37" s="1295"/>
      <c r="P37" s="1295"/>
      <c r="Q37" s="1295"/>
      <c r="R37" s="1295"/>
      <c r="S37" s="1295"/>
      <c r="T37" s="1295"/>
      <c r="U37" s="958"/>
      <c r="V37" s="958"/>
      <c r="W37" s="958"/>
      <c r="X37" s="958"/>
      <c r="Y37" s="958"/>
      <c r="Z37" s="1295"/>
      <c r="AA37" s="1295"/>
      <c r="AB37" s="1295"/>
      <c r="AC37" s="1295"/>
      <c r="AD37" s="1295"/>
      <c r="AE37" s="1295"/>
      <c r="AF37" s="1295"/>
      <c r="AG37" s="1295"/>
      <c r="AH37" s="1295"/>
      <c r="AI37" s="1295"/>
      <c r="AK37" s="46"/>
    </row>
    <row r="38" spans="2:44" ht="15.95" customHeight="1">
      <c r="B38" s="21"/>
      <c r="I38" s="27"/>
      <c r="K38" s="1296" t="s">
        <v>1158</v>
      </c>
      <c r="L38" s="1296"/>
      <c r="M38" s="1296"/>
      <c r="N38" s="1296"/>
      <c r="O38" s="1296"/>
      <c r="P38" s="1296"/>
      <c r="Q38" s="1296"/>
      <c r="R38" s="1296"/>
      <c r="S38" s="1296"/>
      <c r="T38" s="1296"/>
      <c r="U38" s="958"/>
      <c r="V38" s="958"/>
      <c r="W38" s="958"/>
      <c r="X38" s="958"/>
      <c r="Y38" s="958"/>
      <c r="Z38" s="1296" t="s">
        <v>1208</v>
      </c>
      <c r="AA38" s="1296"/>
      <c r="AB38" s="1296"/>
      <c r="AC38" s="1296"/>
      <c r="AD38" s="1296"/>
      <c r="AE38" s="1296"/>
      <c r="AF38" s="1296"/>
      <c r="AG38" s="1296"/>
      <c r="AH38" s="1296"/>
      <c r="AI38" s="1296"/>
      <c r="AK38" s="46"/>
    </row>
    <row r="39" spans="2:44" ht="15.95" customHeight="1">
      <c r="B39" s="21"/>
      <c r="I39" s="27"/>
      <c r="K39" s="1296"/>
      <c r="L39" s="1296"/>
      <c r="M39" s="1296"/>
      <c r="N39" s="1296"/>
      <c r="O39" s="1296"/>
      <c r="P39" s="1296"/>
      <c r="Q39" s="1296"/>
      <c r="R39" s="1296"/>
      <c r="S39" s="1296"/>
      <c r="T39" s="1296"/>
      <c r="U39" s="958"/>
      <c r="V39" s="958"/>
      <c r="W39" s="958"/>
      <c r="X39" s="958"/>
      <c r="Y39" s="958"/>
      <c r="Z39" s="1296"/>
      <c r="AA39" s="1296"/>
      <c r="AB39" s="1296"/>
      <c r="AC39" s="1296"/>
      <c r="AD39" s="1296"/>
      <c r="AE39" s="1296"/>
      <c r="AF39" s="1296"/>
      <c r="AG39" s="1296"/>
      <c r="AH39" s="1296"/>
      <c r="AI39" s="1296"/>
      <c r="AK39" s="46"/>
    </row>
    <row r="40" spans="2:44" ht="15.95" customHeight="1">
      <c r="B40" s="21"/>
      <c r="I40" s="27"/>
      <c r="U40" s="958"/>
      <c r="V40" s="958"/>
      <c r="W40" s="958"/>
      <c r="X40" s="958"/>
      <c r="Y40" s="958"/>
      <c r="Z40" s="21"/>
      <c r="AK40" s="46"/>
    </row>
    <row r="41" spans="2:44" ht="15.95" customHeight="1">
      <c r="B41" s="21"/>
      <c r="I41" s="27"/>
      <c r="U41" s="958"/>
      <c r="V41" s="958"/>
      <c r="W41" s="958"/>
      <c r="X41" s="958"/>
      <c r="Y41" s="958"/>
      <c r="Z41" s="21"/>
      <c r="AK41" s="46"/>
    </row>
    <row r="42" spans="2:44" ht="15.95" customHeight="1" thickBot="1">
      <c r="B42" s="21"/>
      <c r="I42" s="27"/>
      <c r="J42" s="21"/>
      <c r="K42" s="21"/>
      <c r="L42" s="21"/>
      <c r="R42" s="21"/>
      <c r="S42" s="39"/>
      <c r="T42" s="39"/>
      <c r="U42" s="958"/>
      <c r="V42" s="958"/>
      <c r="W42" s="958"/>
      <c r="X42" s="958"/>
      <c r="Y42" s="958"/>
      <c r="Z42" s="39"/>
      <c r="AA42" s="39"/>
      <c r="AB42" s="50"/>
      <c r="AC42" s="50"/>
      <c r="AD42" s="50"/>
      <c r="AE42" s="50"/>
      <c r="AF42" s="50"/>
      <c r="AG42" s="50"/>
      <c r="AH42" s="50"/>
      <c r="AI42" s="50"/>
      <c r="AJ42" s="21"/>
      <c r="AK42" s="46"/>
    </row>
    <row r="43" spans="2:44" ht="18.75" customHeight="1" thickBot="1">
      <c r="B43" s="21"/>
      <c r="I43" s="27"/>
      <c r="J43" s="21"/>
      <c r="K43" s="21"/>
      <c r="L43" s="21"/>
      <c r="M43" s="21"/>
      <c r="N43" s="21"/>
      <c r="O43" s="1289" t="s">
        <v>1210</v>
      </c>
      <c r="P43" s="1289"/>
      <c r="Q43" s="1289"/>
      <c r="R43" s="1289"/>
      <c r="S43" s="1289"/>
      <c r="T43" s="1289"/>
      <c r="U43" s="1289"/>
      <c r="V43" s="1289"/>
      <c r="W43" s="1289"/>
      <c r="X43" s="1290" t="s">
        <v>1211</v>
      </c>
      <c r="Y43" s="1290"/>
      <c r="Z43" s="1290"/>
      <c r="AA43" s="1290"/>
      <c r="AB43" s="1290"/>
      <c r="AC43" s="1290"/>
      <c r="AD43" s="1290"/>
      <c r="AE43" s="1290"/>
      <c r="AF43" s="1290"/>
      <c r="AJ43" s="38"/>
      <c r="AK43" s="46"/>
    </row>
    <row r="44" spans="2:44" ht="15.95" customHeight="1" thickBot="1">
      <c r="I44" s="27"/>
      <c r="J44" s="21"/>
      <c r="K44" s="1286" t="s">
        <v>190</v>
      </c>
      <c r="L44" s="1286"/>
      <c r="M44" s="1286"/>
      <c r="N44" s="1286"/>
      <c r="O44" s="1291" t="str">
        <f>IF(COSTTOTALALL_N=0,"",COSTTOTALALL_N)</f>
        <v/>
      </c>
      <c r="P44" s="1291"/>
      <c r="Q44" s="1291"/>
      <c r="R44" s="1291"/>
      <c r="S44" s="1291"/>
      <c r="T44" s="1291"/>
      <c r="U44" s="1291"/>
      <c r="V44" s="1291"/>
      <c r="W44" s="1291"/>
      <c r="X44" s="1292" t="str">
        <f>IF(COSTTOTALALL_N-INCENTOTAL_N=0,"",IF('N01-S01'!P62&lt;&gt;"","---",COSTTOTALALL_N-INCENTOTAL_N))</f>
        <v/>
      </c>
      <c r="Y44" s="1292"/>
      <c r="Z44" s="1292"/>
      <c r="AA44" s="1292"/>
      <c r="AB44" s="1292"/>
      <c r="AC44" s="1292"/>
      <c r="AD44" s="1292"/>
      <c r="AE44" s="1292"/>
      <c r="AF44" s="1292"/>
      <c r="AJ44" s="38"/>
      <c r="AK44" s="46"/>
    </row>
    <row r="45" spans="2:44" ht="15.95" customHeight="1" thickBot="1">
      <c r="I45" s="27"/>
      <c r="J45" s="21"/>
      <c r="K45" s="1283"/>
      <c r="L45" s="1283"/>
      <c r="M45" s="1283"/>
      <c r="N45" s="1283"/>
      <c r="O45" s="1291"/>
      <c r="P45" s="1291"/>
      <c r="Q45" s="1291"/>
      <c r="R45" s="1291"/>
      <c r="S45" s="1291"/>
      <c r="T45" s="1291"/>
      <c r="U45" s="1291"/>
      <c r="V45" s="1291"/>
      <c r="W45" s="1291"/>
      <c r="X45" s="1292"/>
      <c r="Y45" s="1292"/>
      <c r="Z45" s="1292"/>
      <c r="AA45" s="1292"/>
      <c r="AB45" s="1292"/>
      <c r="AC45" s="1292"/>
      <c r="AD45" s="1292"/>
      <c r="AE45" s="1292"/>
      <c r="AF45" s="1292"/>
      <c r="AJ45" s="38"/>
      <c r="AK45" s="46"/>
    </row>
    <row r="46" spans="2:44" ht="15.95" customHeight="1" thickBot="1">
      <c r="I46" s="27"/>
      <c r="J46" s="21"/>
      <c r="K46" s="1282" t="s">
        <v>740</v>
      </c>
      <c r="L46" s="1282"/>
      <c r="M46" s="1282"/>
      <c r="N46" s="1282"/>
      <c r="O46" s="1284" t="str">
        <f ca="1">IFERROR(K36/O44,"")</f>
        <v/>
      </c>
      <c r="P46" s="1284"/>
      <c r="Q46" s="1284"/>
      <c r="R46" s="1284"/>
      <c r="S46" s="1284"/>
      <c r="T46" s="1284"/>
      <c r="U46" s="1284"/>
      <c r="V46" s="1284"/>
      <c r="W46" s="1284"/>
      <c r="X46" s="1285" t="str">
        <f ca="1">IFERROR(K36/X44,"")</f>
        <v/>
      </c>
      <c r="Y46" s="1285"/>
      <c r="Z46" s="1285"/>
      <c r="AA46" s="1285"/>
      <c r="AB46" s="1285"/>
      <c r="AC46" s="1285"/>
      <c r="AD46" s="1285"/>
      <c r="AE46" s="1285"/>
      <c r="AF46" s="1285"/>
      <c r="AJ46" s="38"/>
      <c r="AK46" s="46"/>
    </row>
    <row r="47" spans="2:44" ht="15.95" customHeight="1" thickBot="1">
      <c r="I47" s="27"/>
      <c r="J47" s="21"/>
      <c r="K47" s="1283"/>
      <c r="L47" s="1283"/>
      <c r="M47" s="1283"/>
      <c r="N47" s="1283"/>
      <c r="O47" s="1284"/>
      <c r="P47" s="1284"/>
      <c r="Q47" s="1284"/>
      <c r="R47" s="1284"/>
      <c r="S47" s="1284"/>
      <c r="T47" s="1284"/>
      <c r="U47" s="1284"/>
      <c r="V47" s="1284"/>
      <c r="W47" s="1284"/>
      <c r="X47" s="1285"/>
      <c r="Y47" s="1285"/>
      <c r="Z47" s="1285"/>
      <c r="AA47" s="1285"/>
      <c r="AB47" s="1285"/>
      <c r="AC47" s="1285"/>
      <c r="AD47" s="1285"/>
      <c r="AE47" s="1285"/>
      <c r="AF47" s="1285"/>
      <c r="AJ47" s="38"/>
      <c r="AK47" s="46"/>
    </row>
    <row r="48" spans="2:44" ht="15.95" customHeight="1" thickBot="1">
      <c r="I48" s="27"/>
      <c r="J48" s="21"/>
      <c r="K48" s="1282" t="s">
        <v>198</v>
      </c>
      <c r="L48" s="1282"/>
      <c r="M48" s="1282"/>
      <c r="N48" s="1282"/>
      <c r="O48" s="1287" t="str">
        <f ca="1">IFERROR(O44/K36,"")</f>
        <v/>
      </c>
      <c r="P48" s="1287"/>
      <c r="Q48" s="1287"/>
      <c r="R48" s="1287"/>
      <c r="S48" s="1287"/>
      <c r="T48" s="1287"/>
      <c r="U48" s="1287"/>
      <c r="V48" s="1287"/>
      <c r="W48" s="1287"/>
      <c r="X48" s="1288" t="str">
        <f ca="1">IFERROR(X44/K36,"")</f>
        <v/>
      </c>
      <c r="Y48" s="1288"/>
      <c r="Z48" s="1288"/>
      <c r="AA48" s="1288"/>
      <c r="AB48" s="1288"/>
      <c r="AC48" s="1288"/>
      <c r="AD48" s="1288"/>
      <c r="AE48" s="1288"/>
      <c r="AF48" s="1288"/>
      <c r="AJ48" s="38"/>
      <c r="AK48" s="46"/>
    </row>
    <row r="49" spans="3:53" ht="15.95" customHeight="1" thickBot="1">
      <c r="I49" s="27"/>
      <c r="J49" s="21"/>
      <c r="K49" s="1286"/>
      <c r="L49" s="1286"/>
      <c r="M49" s="1286"/>
      <c r="N49" s="1286"/>
      <c r="O49" s="1287"/>
      <c r="P49" s="1287"/>
      <c r="Q49" s="1287"/>
      <c r="R49" s="1287"/>
      <c r="S49" s="1287"/>
      <c r="T49" s="1287"/>
      <c r="U49" s="1287"/>
      <c r="V49" s="1287"/>
      <c r="W49" s="1287"/>
      <c r="X49" s="1288"/>
      <c r="Y49" s="1288"/>
      <c r="Z49" s="1288"/>
      <c r="AA49" s="1288"/>
      <c r="AB49" s="1288"/>
      <c r="AC49" s="1288"/>
      <c r="AD49" s="1288"/>
      <c r="AE49" s="1288"/>
      <c r="AF49" s="1288"/>
      <c r="AJ49" s="38"/>
      <c r="AK49" s="46"/>
    </row>
    <row r="50" spans="3:53" ht="15.95" customHeight="1" thickBot="1">
      <c r="I50" s="27"/>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46"/>
    </row>
    <row r="51" spans="3:53" ht="15.95" customHeight="1">
      <c r="I51" s="27"/>
      <c r="J51" s="1264" t="s">
        <v>721</v>
      </c>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46"/>
    </row>
    <row r="52" spans="3:53" ht="15.95" customHeight="1">
      <c r="I52" s="27"/>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46"/>
      <c r="AY52" s="181" t="s">
        <v>1052</v>
      </c>
    </row>
    <row r="53" spans="3:53" ht="15.95" customHeight="1">
      <c r="I53" s="27"/>
      <c r="AK53" s="46"/>
      <c r="AY53" t="s">
        <v>727</v>
      </c>
      <c r="BA53">
        <v>7.7599619999999989E-4</v>
      </c>
    </row>
    <row r="54" spans="3:53" ht="15.95" customHeight="1">
      <c r="I54" s="27"/>
      <c r="AK54" s="46"/>
      <c r="AY54" t="s">
        <v>725</v>
      </c>
      <c r="BA54" s="13">
        <f>KWHTOTALALL_N</f>
        <v>0</v>
      </c>
    </row>
    <row r="55" spans="3:53" ht="15.95" customHeight="1">
      <c r="I55" s="27"/>
      <c r="J55" s="1278" t="s">
        <v>760</v>
      </c>
      <c r="K55" s="1278"/>
      <c r="L55" s="1278"/>
      <c r="M55" s="1278"/>
      <c r="N55" s="1278"/>
      <c r="O55" s="1278"/>
      <c r="P55" s="1278"/>
      <c r="Q55" s="1278"/>
      <c r="R55" s="1278"/>
      <c r="AK55" s="46"/>
      <c r="AY55" s="17" t="s">
        <v>728</v>
      </c>
      <c r="BA55">
        <f>BA53*BA54</f>
        <v>0</v>
      </c>
    </row>
    <row r="56" spans="3:53" ht="15.95" customHeight="1">
      <c r="C56" s="17"/>
      <c r="D56" s="17"/>
      <c r="E56" s="17"/>
      <c r="F56" s="17"/>
      <c r="G56" s="17"/>
      <c r="I56" s="27"/>
      <c r="J56" s="1278"/>
      <c r="K56" s="1278"/>
      <c r="L56" s="1278"/>
      <c r="M56" s="1278"/>
      <c r="N56" s="1278"/>
      <c r="O56" s="1278"/>
      <c r="P56" s="1278"/>
      <c r="Q56" s="1278"/>
      <c r="R56" s="1278"/>
      <c r="AK56" s="46"/>
      <c r="AY56" t="s">
        <v>729</v>
      </c>
      <c r="BA56">
        <v>4.67</v>
      </c>
    </row>
    <row r="57" spans="3:53" ht="15.95" customHeight="1">
      <c r="C57" s="17"/>
      <c r="D57" s="17"/>
      <c r="E57" s="17"/>
      <c r="F57" s="17"/>
      <c r="G57" s="17"/>
      <c r="I57" s="27"/>
      <c r="J57" s="1279">
        <f>KWHTOTALALL_N</f>
        <v>0</v>
      </c>
      <c r="K57" s="1279"/>
      <c r="L57" s="1279"/>
      <c r="M57" s="1279"/>
      <c r="N57" s="1279"/>
      <c r="O57" s="1279"/>
      <c r="P57" s="1279"/>
      <c r="Q57" s="1279"/>
      <c r="R57" s="1279"/>
      <c r="AK57" s="46"/>
      <c r="AY57" t="s">
        <v>731</v>
      </c>
      <c r="BA57">
        <f>6.672/12</f>
        <v>0.55599999999999994</v>
      </c>
    </row>
    <row r="58" spans="3:53" ht="15.95" customHeight="1">
      <c r="C58" s="17"/>
      <c r="D58" s="17"/>
      <c r="E58" s="17"/>
      <c r="F58" s="17"/>
      <c r="G58" s="17"/>
      <c r="I58" s="27"/>
      <c r="J58" s="1279"/>
      <c r="K58" s="1279"/>
      <c r="L58" s="1279"/>
      <c r="M58" s="1279"/>
      <c r="N58" s="1279"/>
      <c r="O58" s="1279"/>
      <c r="P58" s="1279"/>
      <c r="Q58" s="1279"/>
      <c r="R58" s="1279"/>
      <c r="AK58" s="46"/>
      <c r="AY58" t="s">
        <v>730</v>
      </c>
      <c r="BA58" s="26">
        <v>2.87</v>
      </c>
    </row>
    <row r="59" spans="3:53" ht="15.95" customHeight="1">
      <c r="C59" s="17"/>
      <c r="D59" s="17"/>
      <c r="E59" s="17"/>
      <c r="F59" s="17"/>
      <c r="G59" s="17"/>
      <c r="I59" s="27"/>
      <c r="K59" s="65"/>
      <c r="L59" s="65"/>
      <c r="M59" s="65"/>
      <c r="N59" s="65"/>
      <c r="O59" s="65"/>
      <c r="P59" s="65"/>
      <c r="Q59" s="65"/>
      <c r="R59" s="65"/>
      <c r="S59" s="65"/>
      <c r="T59" s="1280" t="s">
        <v>797</v>
      </c>
      <c r="U59" s="1280"/>
      <c r="V59" s="1280"/>
      <c r="W59" s="1280"/>
      <c r="X59" s="1280"/>
      <c r="Y59" s="1280"/>
      <c r="Z59" s="1280"/>
      <c r="AA59" s="65"/>
      <c r="AB59" s="65"/>
      <c r="AC59" s="65"/>
      <c r="AD59" s="65"/>
      <c r="AE59" s="65"/>
      <c r="AF59" s="65"/>
      <c r="AG59" s="65"/>
      <c r="AH59" s="65"/>
      <c r="AI59" s="65"/>
      <c r="AJ59" s="65"/>
      <c r="AK59" s="46"/>
      <c r="AY59" s="181" t="s">
        <v>1053</v>
      </c>
    </row>
    <row r="60" spans="3:53" ht="15.95" customHeight="1">
      <c r="C60" s="17"/>
      <c r="D60" s="17"/>
      <c r="E60" s="17"/>
      <c r="F60" s="17"/>
      <c r="G60" s="17"/>
      <c r="I60" s="27"/>
      <c r="J60" s="66"/>
      <c r="K60" s="66"/>
      <c r="L60" s="66"/>
      <c r="M60" s="66"/>
      <c r="N60" s="66"/>
      <c r="O60" s="66"/>
      <c r="P60" s="66"/>
      <c r="Q60" s="66"/>
      <c r="R60" s="66"/>
      <c r="S60" s="66"/>
      <c r="T60" s="1280"/>
      <c r="U60" s="1280"/>
      <c r="V60" s="1280"/>
      <c r="W60" s="1280"/>
      <c r="X60" s="1280"/>
      <c r="Y60" s="1280"/>
      <c r="Z60" s="1280"/>
      <c r="AA60" s="66"/>
      <c r="AB60" s="66"/>
      <c r="AC60" s="66"/>
      <c r="AD60" s="66"/>
      <c r="AE60" s="66"/>
      <c r="AF60" s="66"/>
      <c r="AG60" s="66"/>
      <c r="AH60" s="66"/>
      <c r="AI60" s="66"/>
      <c r="AJ60" s="66"/>
      <c r="AK60" s="46"/>
    </row>
    <row r="61" spans="3:53" ht="15.95" customHeight="1">
      <c r="C61" s="17"/>
      <c r="D61" s="17"/>
      <c r="E61" s="17"/>
      <c r="F61" s="17"/>
      <c r="G61" s="17"/>
      <c r="I61" s="27"/>
      <c r="T61" s="1280"/>
      <c r="U61" s="1280"/>
      <c r="V61" s="1280"/>
      <c r="W61" s="1280"/>
      <c r="X61" s="1280"/>
      <c r="Y61" s="1280"/>
      <c r="Z61" s="1280"/>
      <c r="AK61" s="46"/>
    </row>
    <row r="62" spans="3:53" ht="15.95" customHeight="1">
      <c r="C62" s="17"/>
      <c r="I62" s="27"/>
      <c r="AK62" s="46"/>
    </row>
    <row r="63" spans="3:53" ht="15.95" customHeight="1">
      <c r="C63" s="17"/>
      <c r="I63" s="27"/>
      <c r="M63" s="1281">
        <f>$BA$55/$BA$56</f>
        <v>0</v>
      </c>
      <c r="N63" s="1281"/>
      <c r="O63" s="1281"/>
      <c r="P63" s="1281"/>
      <c r="Q63" s="1281"/>
      <c r="R63" s="1281"/>
      <c r="S63" s="63"/>
      <c r="T63" s="63"/>
      <c r="V63" s="1281">
        <f>($BA$55/$BA$57)</f>
        <v>0</v>
      </c>
      <c r="W63" s="1281"/>
      <c r="X63" s="1281"/>
      <c r="Y63" s="1281"/>
      <c r="Z63" s="1281"/>
      <c r="AA63" s="1281"/>
      <c r="AB63" s="297"/>
      <c r="AC63" s="297"/>
      <c r="AD63" s="297"/>
      <c r="AE63" s="1281">
        <f>$BA$55/$BA$58</f>
        <v>0</v>
      </c>
      <c r="AF63" s="1281"/>
      <c r="AG63" s="1281"/>
      <c r="AH63" s="1281"/>
      <c r="AI63" s="1281"/>
      <c r="AJ63" s="1281"/>
      <c r="AK63" s="46"/>
    </row>
    <row r="64" spans="3:53" ht="15.95" customHeight="1">
      <c r="C64" s="17"/>
      <c r="I64" s="27"/>
      <c r="M64" s="1274" t="s">
        <v>755</v>
      </c>
      <c r="N64" s="1274"/>
      <c r="O64" s="1274"/>
      <c r="P64" s="1274"/>
      <c r="Q64" s="1274"/>
      <c r="R64" s="1274"/>
      <c r="S64" s="298"/>
      <c r="T64" s="298"/>
      <c r="V64" s="1275" t="s">
        <v>757</v>
      </c>
      <c r="W64" s="1275"/>
      <c r="X64" s="1275"/>
      <c r="Y64" s="1275"/>
      <c r="Z64" s="1275"/>
      <c r="AA64" s="1275"/>
      <c r="AB64" s="299"/>
      <c r="AC64" s="299"/>
      <c r="AD64" s="299"/>
      <c r="AE64" s="1275" t="s">
        <v>759</v>
      </c>
      <c r="AF64" s="1275"/>
      <c r="AG64" s="1275"/>
      <c r="AH64" s="1275"/>
      <c r="AI64" s="1275"/>
      <c r="AJ64" s="1275"/>
      <c r="AK64" s="46"/>
      <c r="AL64" s="63"/>
    </row>
    <row r="65" spans="3:39" ht="15.95" customHeight="1">
      <c r="C65" s="17"/>
      <c r="I65" s="27"/>
      <c r="M65" s="1274" t="s">
        <v>756</v>
      </c>
      <c r="N65" s="1274"/>
      <c r="O65" s="1274"/>
      <c r="P65" s="1274"/>
      <c r="Q65" s="1274"/>
      <c r="R65" s="1274"/>
      <c r="S65" s="298"/>
      <c r="T65" s="298"/>
      <c r="V65" s="1276" t="s">
        <v>758</v>
      </c>
      <c r="W65" s="1276"/>
      <c r="X65" s="1276"/>
      <c r="Y65" s="1276"/>
      <c r="Z65" s="1276"/>
      <c r="AA65" s="1276"/>
      <c r="AE65" s="1277" t="s">
        <v>763</v>
      </c>
      <c r="AF65" s="1277"/>
      <c r="AG65" s="1277"/>
      <c r="AH65" s="1277"/>
      <c r="AI65" s="1277"/>
      <c r="AJ65" s="1277"/>
      <c r="AK65" s="46"/>
      <c r="AL65" s="64"/>
    </row>
    <row r="66" spans="3:39" ht="15.95" customHeight="1">
      <c r="C66" s="17"/>
      <c r="I66" s="27"/>
      <c r="AK66" s="46"/>
    </row>
    <row r="67" spans="3:39" ht="15.95" customHeight="1">
      <c r="C67" s="17"/>
      <c r="I67" s="27"/>
      <c r="AK67" s="46"/>
    </row>
    <row r="68" spans="3:39" ht="15.95" customHeight="1" thickBot="1">
      <c r="C68" s="17"/>
      <c r="I68" s="27"/>
      <c r="U68" s="21"/>
      <c r="V68" s="21"/>
      <c r="W68" s="21"/>
      <c r="X68" s="21"/>
      <c r="Y68" s="21"/>
      <c r="Z68" s="21"/>
      <c r="AK68" s="46"/>
    </row>
    <row r="69" spans="3:39" ht="15.95" customHeight="1">
      <c r="C69" s="17"/>
      <c r="I69" s="27"/>
      <c r="J69" s="1264" t="s">
        <v>722</v>
      </c>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46"/>
    </row>
    <row r="70" spans="3:39" ht="15.95" customHeight="1">
      <c r="C70" s="17"/>
      <c r="D70" s="17"/>
      <c r="E70" s="17"/>
      <c r="F70" s="17"/>
      <c r="G70" s="17"/>
      <c r="I70" s="27"/>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46"/>
    </row>
    <row r="71" spans="3:39" ht="15.95" customHeight="1">
      <c r="C71" s="17"/>
      <c r="D71" s="17"/>
      <c r="E71" s="17"/>
      <c r="F71" s="17"/>
      <c r="G71" s="17"/>
      <c r="I71" s="27"/>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45"/>
      <c r="AI71" s="21"/>
      <c r="AJ71" s="21"/>
      <c r="AK71" s="46"/>
    </row>
    <row r="72" spans="3:39" ht="15.95" customHeight="1">
      <c r="C72" s="17"/>
      <c r="D72" s="17"/>
      <c r="E72" s="17"/>
      <c r="F72" s="17"/>
      <c r="G72" s="17"/>
      <c r="I72" s="27"/>
      <c r="J72" s="1266" t="s">
        <v>732</v>
      </c>
      <c r="K72" s="1266"/>
      <c r="L72" s="1266"/>
      <c r="M72" s="1266"/>
      <c r="N72" s="1266"/>
      <c r="O72" s="1266"/>
      <c r="P72" s="1266"/>
      <c r="Q72" s="1266"/>
      <c r="R72" s="1266"/>
      <c r="S72" s="1266"/>
      <c r="T72" s="1266"/>
      <c r="U72" s="1266"/>
      <c r="V72" s="1266"/>
      <c r="W72" s="21"/>
      <c r="Y72" s="52" t="s">
        <v>723</v>
      </c>
      <c r="Z72" s="53"/>
      <c r="AA72" s="54" t="s">
        <v>1266</v>
      </c>
      <c r="AB72" s="38"/>
      <c r="AC72" s="53"/>
      <c r="AD72" s="53"/>
      <c r="AE72" s="53"/>
      <c r="AF72" s="53"/>
      <c r="AG72" s="53"/>
      <c r="AH72" s="53"/>
      <c r="AI72" s="53"/>
      <c r="AJ72" s="53"/>
      <c r="AK72" s="46"/>
    </row>
    <row r="73" spans="3:39" ht="15.95" customHeight="1">
      <c r="C73" s="17"/>
      <c r="D73" s="17"/>
      <c r="E73" s="17"/>
      <c r="F73" s="17"/>
      <c r="G73" s="17"/>
      <c r="I73" s="27"/>
      <c r="J73" s="1267" t="s">
        <v>726</v>
      </c>
      <c r="K73" s="1267"/>
      <c r="L73" s="1267"/>
      <c r="M73" s="1267"/>
      <c r="N73" s="1267"/>
      <c r="O73" s="1267"/>
      <c r="P73" s="1267"/>
      <c r="Q73" s="1267"/>
      <c r="R73" s="1267"/>
      <c r="S73" s="1267"/>
      <c r="T73" s="1267"/>
      <c r="U73" s="1267"/>
      <c r="V73" s="1267"/>
      <c r="W73" s="21"/>
      <c r="Y73" s="52" t="s">
        <v>719</v>
      </c>
      <c r="Z73" s="39"/>
      <c r="AA73" s="54" t="str">
        <f>Hotline</f>
        <v>(844)687-0229</v>
      </c>
      <c r="AB73" s="39"/>
      <c r="AC73" s="39"/>
      <c r="AD73" s="47"/>
      <c r="AE73" s="47"/>
      <c r="AF73" s="39"/>
      <c r="AG73" s="39"/>
      <c r="AH73" s="39"/>
      <c r="AI73" s="39"/>
      <c r="AJ73" s="43"/>
      <c r="AK73" s="46"/>
    </row>
    <row r="74" spans="3:39" ht="15.95" customHeight="1">
      <c r="C74" s="17"/>
      <c r="D74" s="17"/>
      <c r="E74" s="17"/>
      <c r="F74" s="17"/>
      <c r="G74" s="17"/>
      <c r="I74" s="27"/>
      <c r="J74" s="1267"/>
      <c r="K74" s="1267"/>
      <c r="L74" s="1267"/>
      <c r="M74" s="1267"/>
      <c r="N74" s="1267"/>
      <c r="O74" s="1267"/>
      <c r="P74" s="1267"/>
      <c r="Q74" s="1267"/>
      <c r="R74" s="1267"/>
      <c r="S74" s="1267"/>
      <c r="T74" s="1267"/>
      <c r="U74" s="1267"/>
      <c r="V74" s="1267"/>
      <c r="W74" s="21"/>
      <c r="Y74" s="52" t="s">
        <v>724</v>
      </c>
      <c r="Z74" s="39"/>
      <c r="AA74" s="252" t="s">
        <v>1254</v>
      </c>
      <c r="AB74" s="39"/>
      <c r="AC74" s="39"/>
      <c r="AD74" s="47"/>
      <c r="AE74" s="47"/>
      <c r="AF74" s="44"/>
      <c r="AG74" s="39"/>
      <c r="AH74" s="39"/>
      <c r="AI74" s="39"/>
      <c r="AJ74" s="43"/>
      <c r="AK74" s="46"/>
    </row>
    <row r="75" spans="3:39" ht="15.95" customHeight="1">
      <c r="C75" s="17"/>
      <c r="D75" s="17"/>
      <c r="E75" s="17"/>
      <c r="F75" s="17"/>
      <c r="G75" s="17"/>
      <c r="I75" s="27"/>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46"/>
    </row>
    <row r="76" spans="3:39" ht="15.95" customHeight="1">
      <c r="C76" s="17"/>
      <c r="D76" s="17"/>
      <c r="E76" s="17"/>
      <c r="F76" s="17"/>
      <c r="G76" s="17"/>
      <c r="I76" s="27"/>
      <c r="J76" s="1268" t="s">
        <v>1265</v>
      </c>
      <c r="K76" s="1269"/>
      <c r="L76" s="1269"/>
      <c r="M76" s="1269"/>
      <c r="N76" s="1269"/>
      <c r="O76" s="1269"/>
      <c r="P76" s="1269"/>
      <c r="Q76" s="1269"/>
      <c r="R76" s="1269"/>
      <c r="S76" s="1269"/>
      <c r="T76" s="1269"/>
      <c r="U76" s="1269"/>
      <c r="V76" s="1269"/>
      <c r="W76" s="1269"/>
      <c r="X76" s="1269"/>
      <c r="Y76" s="1269"/>
      <c r="Z76" s="1269"/>
      <c r="AA76" s="1269"/>
      <c r="AB76" s="1269"/>
      <c r="AC76" s="1269"/>
      <c r="AD76" s="1269"/>
      <c r="AE76" s="1269"/>
      <c r="AF76" s="1269"/>
      <c r="AG76" s="1269"/>
      <c r="AH76" s="1269"/>
      <c r="AI76" s="1269"/>
      <c r="AJ76" s="1270"/>
      <c r="AK76" s="46"/>
    </row>
    <row r="77" spans="3:39" ht="15.95" customHeight="1">
      <c r="C77" s="17"/>
      <c r="D77" s="17"/>
      <c r="E77" s="17"/>
      <c r="F77" s="17"/>
      <c r="G77" s="17"/>
      <c r="I77" s="27"/>
      <c r="J77" s="1271"/>
      <c r="K77" s="1272"/>
      <c r="L77" s="1272"/>
      <c r="M77" s="1272"/>
      <c r="N77" s="1272"/>
      <c r="O77" s="1272"/>
      <c r="P77" s="1272"/>
      <c r="Q77" s="1272"/>
      <c r="R77" s="1272"/>
      <c r="S77" s="1272"/>
      <c r="T77" s="1272"/>
      <c r="U77" s="1272"/>
      <c r="V77" s="1272"/>
      <c r="W77" s="1272"/>
      <c r="X77" s="1272"/>
      <c r="Y77" s="1272"/>
      <c r="Z77" s="1272"/>
      <c r="AA77" s="1272"/>
      <c r="AB77" s="1272"/>
      <c r="AC77" s="1272"/>
      <c r="AD77" s="1272"/>
      <c r="AE77" s="1272"/>
      <c r="AF77" s="1272"/>
      <c r="AG77" s="1272"/>
      <c r="AH77" s="1272"/>
      <c r="AI77" s="1272"/>
      <c r="AJ77" s="1273"/>
      <c r="AK77" s="46"/>
    </row>
    <row r="78" spans="3:39" ht="15.95" customHeight="1">
      <c r="C78" s="17"/>
      <c r="D78" s="17"/>
      <c r="E78" s="17"/>
      <c r="F78" s="17"/>
      <c r="G78" s="17"/>
      <c r="I78" s="28"/>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9"/>
    </row>
    <row r="79" spans="3:39" ht="15.95" customHeight="1">
      <c r="C79" s="17"/>
      <c r="D79" s="17"/>
      <c r="E79" s="17"/>
      <c r="F79" s="17"/>
      <c r="G79" s="17"/>
    </row>
    <row r="80" spans="3:39" ht="15" customHeight="1">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row>
    <row r="81" spans="3:39" ht="15" hidden="1" customHeight="1">
      <c r="C81" s="17"/>
      <c r="D81" s="17"/>
      <c r="E81" s="17"/>
      <c r="F81" s="17"/>
      <c r="G81" s="17"/>
      <c r="I81" s="17"/>
      <c r="AK81" s="17"/>
      <c r="AM81" s="17"/>
    </row>
    <row r="82" spans="3:39" ht="15" hidden="1" customHeight="1">
      <c r="C82" s="17"/>
      <c r="D82" s="17"/>
      <c r="E82" s="17"/>
      <c r="F82" s="17"/>
      <c r="G82" s="17"/>
      <c r="I82" s="17"/>
      <c r="AK82" s="17"/>
      <c r="AM82" s="17"/>
    </row>
    <row r="83" spans="3:39" ht="15" hidden="1" customHeight="1">
      <c r="C83" s="17"/>
      <c r="D83" s="17"/>
      <c r="E83" s="17"/>
      <c r="F83" s="17"/>
      <c r="G83" s="17"/>
    </row>
    <row r="84" spans="3:39" ht="15" hidden="1" customHeight="1">
      <c r="C84" s="17"/>
      <c r="D84" s="17"/>
      <c r="E84" s="17"/>
      <c r="F84" s="17"/>
      <c r="G84" s="17"/>
    </row>
    <row r="85" spans="3:39" ht="15" hidden="1" customHeight="1">
      <c r="C85" s="17"/>
      <c r="D85" s="17"/>
      <c r="E85" s="17"/>
      <c r="F85" s="17"/>
      <c r="G85" s="17"/>
    </row>
    <row r="86" spans="3:39" ht="15" hidden="1" customHeight="1">
      <c r="C86" s="17"/>
      <c r="D86" s="17"/>
      <c r="E86" s="17"/>
      <c r="F86" s="17"/>
      <c r="G86" s="17"/>
    </row>
    <row r="87" spans="3:39" ht="15" hidden="1" customHeight="1">
      <c r="C87" s="17"/>
      <c r="D87" s="17"/>
      <c r="E87" s="17"/>
      <c r="F87" s="17"/>
      <c r="G87" s="17"/>
    </row>
    <row r="88" spans="3:39" ht="15" hidden="1" customHeight="1">
      <c r="C88" s="17"/>
      <c r="D88" s="17"/>
      <c r="E88" s="17"/>
      <c r="F88" s="17"/>
      <c r="G88" s="17"/>
    </row>
    <row r="89" spans="3:39" ht="15" hidden="1" customHeight="1">
      <c r="C89" s="17"/>
      <c r="D89" s="17"/>
      <c r="E89" s="17"/>
      <c r="F89" s="17"/>
      <c r="G89" s="17"/>
    </row>
    <row r="90" spans="3:39" ht="15" hidden="1" customHeight="1">
      <c r="C90" s="17"/>
      <c r="D90" s="17"/>
      <c r="E90" s="17"/>
      <c r="F90" s="17"/>
      <c r="G90" s="17"/>
      <c r="H90" s="17"/>
    </row>
    <row r="91" spans="3:39" ht="15" hidden="1" customHeight="1">
      <c r="C91" s="17"/>
      <c r="D91" s="17"/>
      <c r="E91" s="17"/>
      <c r="F91" s="17"/>
      <c r="G91" s="17"/>
      <c r="H91" s="17"/>
    </row>
    <row r="173" spans="3:15" ht="15" hidden="1" customHeight="1">
      <c r="C173" s="17"/>
      <c r="D173" s="17"/>
      <c r="E173" s="17"/>
      <c r="F173" s="17"/>
      <c r="G173" s="17"/>
      <c r="H173" s="17"/>
      <c r="J173" s="17"/>
      <c r="K173" s="17"/>
      <c r="L173" s="17"/>
      <c r="M173" s="17"/>
      <c r="N173" s="17"/>
      <c r="O173" s="17"/>
    </row>
    <row r="174" spans="3:15" ht="15" hidden="1" customHeight="1">
      <c r="C174" s="17"/>
      <c r="D174" s="17"/>
      <c r="E174" s="17"/>
      <c r="F174" s="17"/>
      <c r="G174" s="17"/>
      <c r="H174" s="17"/>
      <c r="J174" s="17"/>
      <c r="K174" s="17"/>
      <c r="L174" s="17"/>
      <c r="M174" s="17"/>
      <c r="N174" s="17"/>
      <c r="O174" s="17"/>
    </row>
    <row r="175" spans="3:15" ht="15" hidden="1" customHeight="1">
      <c r="C175" s="17"/>
      <c r="D175" s="17"/>
      <c r="E175" s="17"/>
      <c r="F175" s="17"/>
      <c r="G175" s="17"/>
      <c r="H175" s="17"/>
      <c r="J175" s="17"/>
      <c r="K175" s="17"/>
      <c r="L175" s="17"/>
      <c r="M175" s="17"/>
      <c r="N175" s="17"/>
      <c r="O175" s="17"/>
    </row>
    <row r="176" spans="3:15" ht="15" hidden="1" customHeight="1">
      <c r="C176" s="17"/>
      <c r="D176" s="17"/>
      <c r="E176" s="17"/>
      <c r="F176" s="17"/>
      <c r="G176" s="17"/>
      <c r="H176" s="17"/>
      <c r="J176" s="17"/>
      <c r="K176" s="17"/>
      <c r="L176" s="17"/>
      <c r="M176" s="17"/>
      <c r="N176" s="17"/>
      <c r="O176" s="17"/>
    </row>
    <row r="177" spans="3:15" ht="15" hidden="1" customHeight="1">
      <c r="C177" s="17"/>
      <c r="D177" s="17"/>
      <c r="E177" s="17"/>
      <c r="F177" s="17"/>
      <c r="G177" s="17"/>
      <c r="H177" s="17"/>
      <c r="J177" s="17"/>
      <c r="K177" s="17"/>
      <c r="L177" s="17"/>
      <c r="M177" s="17"/>
      <c r="N177" s="17"/>
      <c r="O177" s="17"/>
    </row>
    <row r="178" spans="3:15" ht="15" hidden="1" customHeight="1">
      <c r="C178" s="17"/>
      <c r="D178" s="17"/>
      <c r="E178" s="17"/>
      <c r="F178" s="17"/>
      <c r="G178" s="17"/>
      <c r="H178" s="17"/>
      <c r="J178" s="17"/>
      <c r="K178" s="17"/>
      <c r="L178" s="17"/>
      <c r="M178" s="17"/>
      <c r="N178" s="17"/>
      <c r="O178" s="17"/>
    </row>
    <row r="179" spans="3:15" ht="15" hidden="1" customHeight="1">
      <c r="C179" s="17"/>
      <c r="D179" s="17"/>
      <c r="E179" s="17"/>
      <c r="F179" s="17"/>
      <c r="G179" s="17"/>
      <c r="H179" s="17"/>
      <c r="J179" s="17"/>
      <c r="K179" s="17"/>
      <c r="L179" s="17"/>
      <c r="M179" s="17"/>
      <c r="N179" s="17"/>
      <c r="O179" s="17"/>
    </row>
    <row r="180" spans="3:15" ht="15" hidden="1" customHeight="1">
      <c r="C180" s="17"/>
      <c r="D180" s="17"/>
      <c r="E180" s="17"/>
      <c r="F180" s="17"/>
      <c r="G180" s="17"/>
      <c r="H180" s="17"/>
      <c r="J180" s="17"/>
      <c r="K180" s="17"/>
      <c r="L180" s="17"/>
      <c r="M180" s="17"/>
      <c r="N180" s="17"/>
      <c r="O180" s="17"/>
    </row>
    <row r="181" spans="3:15" ht="15" hidden="1" customHeight="1">
      <c r="C181" s="17"/>
      <c r="D181" s="17"/>
      <c r="E181" s="17"/>
      <c r="F181" s="17"/>
      <c r="G181" s="17"/>
      <c r="H181" s="17"/>
      <c r="J181" s="17"/>
      <c r="K181" s="17"/>
      <c r="L181" s="17"/>
      <c r="M181" s="17"/>
      <c r="N181" s="17"/>
      <c r="O181" s="17"/>
    </row>
    <row r="182" spans="3:15" ht="15" hidden="1" customHeight="1">
      <c r="C182" s="17"/>
      <c r="D182" s="17"/>
      <c r="E182" s="17"/>
      <c r="F182" s="17"/>
      <c r="G182" s="17"/>
      <c r="H182" s="17"/>
      <c r="J182" s="17"/>
      <c r="K182" s="17"/>
      <c r="L182" s="17"/>
      <c r="M182" s="17"/>
      <c r="N182" s="17"/>
      <c r="O182" s="17"/>
    </row>
    <row r="183" spans="3:15" ht="15" hidden="1" customHeight="1">
      <c r="C183" s="17"/>
      <c r="D183" s="17"/>
      <c r="E183" s="17"/>
      <c r="F183" s="17"/>
      <c r="G183" s="17"/>
      <c r="H183" s="17"/>
      <c r="J183" s="17"/>
      <c r="K183" s="17"/>
      <c r="L183" s="17"/>
      <c r="M183" s="17"/>
      <c r="N183" s="17"/>
      <c r="O183" s="17"/>
    </row>
    <row r="184" spans="3:15" ht="15" hidden="1" customHeight="1">
      <c r="C184" s="17"/>
      <c r="D184" s="17"/>
      <c r="E184" s="17"/>
      <c r="F184" s="17"/>
      <c r="G184" s="17"/>
      <c r="H184" s="17"/>
      <c r="J184" s="17"/>
      <c r="K184" s="17"/>
      <c r="L184" s="17"/>
      <c r="M184" s="17"/>
      <c r="N184" s="17"/>
      <c r="O184" s="17"/>
    </row>
    <row r="185" spans="3:15" ht="15" hidden="1" customHeight="1">
      <c r="C185" s="17"/>
      <c r="D185" s="17"/>
      <c r="E185" s="17"/>
      <c r="F185" s="17"/>
      <c r="G185" s="17"/>
      <c r="H185" s="17"/>
      <c r="J185" s="17"/>
      <c r="K185" s="17"/>
      <c r="L185" s="17"/>
      <c r="M185" s="17"/>
      <c r="N185" s="17"/>
      <c r="O185" s="17"/>
    </row>
    <row r="186" spans="3:15" ht="15" hidden="1" customHeight="1">
      <c r="C186" s="17"/>
      <c r="D186" s="17"/>
      <c r="E186" s="17"/>
      <c r="F186" s="17"/>
      <c r="G186" s="17"/>
      <c r="H186" s="17"/>
      <c r="J186" s="17"/>
      <c r="K186" s="17"/>
      <c r="L186" s="17"/>
      <c r="M186" s="17"/>
      <c r="N186" s="17"/>
      <c r="O186" s="17"/>
    </row>
    <row r="187" spans="3:15" ht="15" hidden="1" customHeight="1">
      <c r="C187" s="17"/>
      <c r="D187" s="17"/>
      <c r="E187" s="17"/>
      <c r="F187" s="17"/>
      <c r="G187" s="17"/>
      <c r="H187" s="17"/>
      <c r="J187" s="17"/>
      <c r="K187" s="17"/>
      <c r="L187" s="17"/>
      <c r="M187" s="17"/>
      <c r="N187" s="17"/>
      <c r="O187" s="17"/>
    </row>
    <row r="188" spans="3:15" ht="15" hidden="1" customHeight="1">
      <c r="C188" s="17"/>
      <c r="D188" s="17"/>
      <c r="E188" s="17"/>
      <c r="F188" s="17"/>
      <c r="G188" s="17"/>
      <c r="H188" s="17"/>
      <c r="J188" s="17"/>
      <c r="K188" s="17"/>
      <c r="L188" s="17"/>
      <c r="M188" s="17"/>
      <c r="N188" s="17"/>
      <c r="O188" s="17"/>
    </row>
    <row r="189" spans="3:15" ht="15" hidden="1" customHeight="1">
      <c r="C189" s="17"/>
      <c r="D189" s="17"/>
      <c r="E189" s="17"/>
      <c r="F189" s="17"/>
      <c r="G189" s="17"/>
      <c r="H189" s="17"/>
      <c r="J189" s="17"/>
      <c r="K189" s="17"/>
      <c r="L189" s="17"/>
      <c r="M189" s="17"/>
      <c r="N189" s="17"/>
      <c r="O189" s="17"/>
    </row>
    <row r="190" spans="3:15" ht="15" hidden="1" customHeight="1">
      <c r="C190" s="17"/>
      <c r="D190" s="17"/>
      <c r="E190" s="17"/>
      <c r="F190" s="17"/>
      <c r="G190" s="17"/>
      <c r="H190" s="17"/>
      <c r="J190" s="17"/>
      <c r="K190" s="17"/>
      <c r="L190" s="17"/>
      <c r="M190" s="17"/>
      <c r="N190" s="17"/>
      <c r="O190" s="17"/>
    </row>
    <row r="191" spans="3:15" ht="15" hidden="1" customHeight="1">
      <c r="C191" s="17"/>
      <c r="D191" s="17"/>
      <c r="E191" s="17"/>
      <c r="F191" s="17"/>
      <c r="G191" s="17"/>
      <c r="H191" s="17"/>
      <c r="J191" s="17"/>
      <c r="K191" s="17"/>
      <c r="L191" s="17"/>
      <c r="M191" s="17"/>
      <c r="N191" s="17"/>
      <c r="O191" s="17"/>
    </row>
    <row r="192" spans="3:15" ht="15" hidden="1" customHeight="1">
      <c r="C192" s="17"/>
      <c r="D192" s="17"/>
      <c r="E192" s="17"/>
      <c r="F192" s="17"/>
      <c r="G192" s="17"/>
      <c r="H192" s="17"/>
      <c r="J192" s="17"/>
      <c r="K192" s="17"/>
      <c r="L192" s="17"/>
      <c r="M192" s="17"/>
      <c r="N192" s="17"/>
      <c r="O192" s="17"/>
    </row>
    <row r="193" spans="1:49" ht="15" hidden="1" customHeight="1">
      <c r="C193" s="17"/>
      <c r="D193" s="17"/>
      <c r="E193" s="17"/>
      <c r="F193" s="17"/>
      <c r="G193" s="17"/>
      <c r="H193" s="17"/>
      <c r="J193" s="17"/>
      <c r="K193" s="17"/>
      <c r="L193" s="17"/>
      <c r="M193" s="17"/>
      <c r="N193" s="17"/>
      <c r="O193" s="17"/>
    </row>
    <row r="194" spans="1:49" ht="15" hidden="1" customHeight="1">
      <c r="C194" s="17"/>
      <c r="D194" s="17"/>
      <c r="E194" s="17"/>
      <c r="F194" s="17"/>
      <c r="G194" s="17"/>
      <c r="H194" s="17"/>
      <c r="J194" s="17"/>
      <c r="K194" s="17"/>
      <c r="L194" s="17"/>
      <c r="M194" s="17"/>
      <c r="N194" s="17"/>
      <c r="O194" s="17"/>
    </row>
    <row r="195" spans="1:49" ht="15" hidden="1" customHeight="1">
      <c r="C195" s="17"/>
      <c r="D195" s="17"/>
      <c r="E195" s="17"/>
      <c r="F195" s="17"/>
      <c r="G195" s="17"/>
      <c r="H195" s="17"/>
      <c r="J195" s="17"/>
      <c r="K195" s="17"/>
      <c r="L195" s="17"/>
      <c r="M195" s="17"/>
      <c r="N195" s="17"/>
      <c r="O195" s="17"/>
    </row>
    <row r="196" spans="1:49" ht="15" hidden="1" customHeight="1">
      <c r="C196" s="17"/>
      <c r="D196" s="17"/>
      <c r="E196" s="17"/>
      <c r="F196" s="17"/>
      <c r="G196" s="17"/>
      <c r="H196" s="17"/>
      <c r="J196" s="17"/>
      <c r="K196" s="17"/>
      <c r="L196" s="17"/>
      <c r="M196" s="17"/>
      <c r="N196" s="17"/>
      <c r="O196" s="17"/>
    </row>
    <row r="197" spans="1:49" ht="15" hidden="1" customHeight="1">
      <c r="C197" s="17"/>
      <c r="D197" s="17"/>
      <c r="E197" s="17"/>
      <c r="F197" s="17"/>
      <c r="G197" s="17"/>
      <c r="H197" s="17"/>
      <c r="J197" s="17"/>
      <c r="K197" s="17"/>
      <c r="L197" s="17"/>
      <c r="M197" s="17"/>
      <c r="N197" s="17"/>
      <c r="O197" s="17"/>
    </row>
    <row r="198" spans="1:49" ht="15" hidden="1" customHeight="1">
      <c r="C198" s="17"/>
      <c r="D198" s="17"/>
      <c r="E198" s="17"/>
      <c r="F198" s="17"/>
      <c r="G198" s="17"/>
      <c r="H198" s="17"/>
      <c r="J198" s="17"/>
      <c r="K198" s="17"/>
      <c r="L198" s="17"/>
      <c r="M198" s="17"/>
      <c r="N198" s="17"/>
      <c r="O198" s="17"/>
    </row>
    <row r="199" spans="1:49" ht="15" hidden="1" customHeight="1">
      <c r="C199" s="17"/>
      <c r="D199" s="17"/>
      <c r="E199" s="17"/>
      <c r="F199" s="17"/>
      <c r="G199" s="17"/>
      <c r="H199" s="17"/>
      <c r="J199" s="17"/>
      <c r="K199" s="17"/>
      <c r="L199" s="17"/>
      <c r="M199" s="17"/>
      <c r="N199" s="17"/>
      <c r="O199" s="17"/>
    </row>
    <row r="200" spans="1:49" ht="1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38334BsK+ZrGQZKdTikkF5/bD+aCq0+HzdsppsxlRsn/3HoNj5E9KvNChFWFJzxx//andyPvekm7BTSyeQoMSg==" saltValue="8NlCN7RLzi9Qv/Lq1ffJQg==" spinCount="100000" sheet="1" objects="1" scenarios="1" selectLockedCells="1"/>
  <mergeCells count="64">
    <mergeCell ref="AT1:AW3"/>
    <mergeCell ref="F1:I3"/>
    <mergeCell ref="J1:M3"/>
    <mergeCell ref="O1:AE3"/>
    <mergeCell ref="AL1:AO3"/>
    <mergeCell ref="AP1:AS3"/>
    <mergeCell ref="M200:AG201"/>
    <mergeCell ref="J11:P13"/>
    <mergeCell ref="Q11:AJ13"/>
    <mergeCell ref="A5:E6"/>
    <mergeCell ref="AQ5:AU6"/>
    <mergeCell ref="A7:E7"/>
    <mergeCell ref="AQ7:AU7"/>
    <mergeCell ref="A8:E8"/>
    <mergeCell ref="AQ8:AU8"/>
    <mergeCell ref="J16:AB19"/>
    <mergeCell ref="J20:AJ21"/>
    <mergeCell ref="O22:X22"/>
    <mergeCell ref="AB22:AJ22"/>
    <mergeCell ref="O23:X23"/>
    <mergeCell ref="AB23:AJ23"/>
    <mergeCell ref="O24:X24"/>
    <mergeCell ref="AB24:AJ24"/>
    <mergeCell ref="O25:X25"/>
    <mergeCell ref="AB25:AJ25"/>
    <mergeCell ref="O26:X26"/>
    <mergeCell ref="AB26:AJ26"/>
    <mergeCell ref="K29:AC30"/>
    <mergeCell ref="AD29:AJ30"/>
    <mergeCell ref="J32:AJ33"/>
    <mergeCell ref="U34:Y42"/>
    <mergeCell ref="K36:T37"/>
    <mergeCell ref="Z36:AI37"/>
    <mergeCell ref="K38:T39"/>
    <mergeCell ref="Z38:AI39"/>
    <mergeCell ref="O43:W43"/>
    <mergeCell ref="X43:AF43"/>
    <mergeCell ref="K44:N45"/>
    <mergeCell ref="O44:W45"/>
    <mergeCell ref="X44:AF45"/>
    <mergeCell ref="V63:AA63"/>
    <mergeCell ref="AE63:AJ63"/>
    <mergeCell ref="K46:N47"/>
    <mergeCell ref="O46:W47"/>
    <mergeCell ref="X46:AF47"/>
    <mergeCell ref="K48:N49"/>
    <mergeCell ref="O48:W49"/>
    <mergeCell ref="X48:AF49"/>
    <mergeCell ref="A9:AW10"/>
    <mergeCell ref="J69:AJ70"/>
    <mergeCell ref="J72:V72"/>
    <mergeCell ref="J73:V74"/>
    <mergeCell ref="J76:AJ77"/>
    <mergeCell ref="M64:R64"/>
    <mergeCell ref="V64:AA64"/>
    <mergeCell ref="AE64:AJ64"/>
    <mergeCell ref="M65:R65"/>
    <mergeCell ref="V65:AA65"/>
    <mergeCell ref="AE65:AJ65"/>
    <mergeCell ref="J51:AJ52"/>
    <mergeCell ref="J55:R56"/>
    <mergeCell ref="J57:R58"/>
    <mergeCell ref="T59:Z61"/>
    <mergeCell ref="M63:R63"/>
  </mergeCells>
  <conditionalFormatting sqref="Q11">
    <cfRule type="expression" dxfId="32" priority="3">
      <formula>#REF!-TODAY()&gt;=7</formula>
    </cfRule>
    <cfRule type="expression" dxfId="31" priority="4">
      <formula>AND(#REF!-TODAY()&lt;7,#REF!-TODAY()&gt;2)</formula>
    </cfRule>
    <cfRule type="expression" dxfId="30" priority="5">
      <formula>AND(#REF!-TODAY()&lt;=2,#REF!-TODAY()&gt;=0)</formula>
    </cfRule>
  </conditionalFormatting>
  <conditionalFormatting sqref="AQ8:AW8">
    <cfRule type="expression" dxfId="29" priority="1752">
      <formula>IF($AQ$8=PROJSTATMEASURE,FALSE,TRUE)</formula>
    </cfRule>
  </conditionalFormatting>
  <hyperlinks>
    <hyperlink ref="AY59" r:id="rId1" xr:uid="{EE6A1D78-81BE-4ACD-9250-FCFCBC618F4A}"/>
    <hyperlink ref="AY52" r:id="rId2" xr:uid="{E867195C-B158-4CFF-A747-81DE9D144634}"/>
    <hyperlink ref="AA74" r:id="rId3" xr:uid="{F46F53AA-46AC-4247-9DB7-D3A1A30853B5}"/>
    <hyperlink ref="B202" r:id="rId4" display="businessrebates@evergy.com" xr:uid="{4DB4339D-ED5A-4E26-ABA7-BD0582C01F6D}"/>
  </hyperlinks>
  <printOptions horizontalCentered="1"/>
  <pageMargins left="0" right="0" top="0" bottom="0" header="0" footer="0"/>
  <pageSetup scale="77" orientation="portrait" r:id="rId5"/>
  <colBreaks count="1" manualBreakCount="1">
    <brk id="36" max="1048575" man="1"/>
  </colBreaks>
  <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3C587-F053-4F09-ADD1-EC77261EDEC6}">
  <sheetPr codeName="Sheet59">
    <tabColor theme="9" tint="0.59999389629810485"/>
    <pageSetUpPr fitToPage="1"/>
  </sheetPr>
  <dimension ref="A1:AW202"/>
  <sheetViews>
    <sheetView showGridLines="0" showRowColHeaders="0" zoomScale="85" zoomScaleNormal="85" workbookViewId="0">
      <selection activeCell="L50" sqref="L50:T51"/>
    </sheetView>
  </sheetViews>
  <sheetFormatPr defaultColWidth="0" defaultRowHeight="15.95" customHeight="1" zeroHeight="1"/>
  <cols>
    <col min="1" max="49" width="4.7109375" customWidth="1"/>
    <col min="50" max="16384" width="4.710937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B4" s="199"/>
      <c r="C4" s="199"/>
      <c r="D4" s="199"/>
      <c r="E4" s="199"/>
    </row>
    <row r="5" spans="1:49" ht="15.95" customHeight="1">
      <c r="A5" s="667">
        <f>INCENTOTAL_N</f>
        <v>0</v>
      </c>
      <c r="B5" s="667"/>
      <c r="C5" s="667"/>
      <c r="D5" s="667"/>
      <c r="E5" s="667"/>
      <c r="AQ5" s="668">
        <f ca="1">PROGRESSSTATUS_N</f>
        <v>0</v>
      </c>
      <c r="AR5" s="668"/>
      <c r="AS5" s="668"/>
      <c r="AT5" s="668"/>
      <c r="AU5" s="668"/>
      <c r="AV5" s="557"/>
      <c r="AW5" s="557"/>
    </row>
    <row r="6" spans="1:49" ht="15.95" customHeight="1">
      <c r="A6" s="667"/>
      <c r="B6" s="667"/>
      <c r="C6" s="667"/>
      <c r="D6" s="667"/>
      <c r="E6" s="667"/>
      <c r="AQ6" s="668"/>
      <c r="AR6" s="668"/>
      <c r="AS6" s="668"/>
      <c r="AT6" s="668"/>
      <c r="AU6" s="668"/>
      <c r="AV6" s="557"/>
      <c r="AW6" s="557"/>
    </row>
    <row r="7" spans="1:49" ht="15.95" customHeight="1">
      <c r="A7" s="665" t="s">
        <v>20</v>
      </c>
      <c r="B7" s="665"/>
      <c r="C7" s="665"/>
      <c r="D7" s="665"/>
      <c r="E7" s="665"/>
      <c r="AQ7" s="665" t="s">
        <v>179</v>
      </c>
      <c r="AR7" s="665"/>
      <c r="AS7" s="665"/>
      <c r="AT7" s="665"/>
      <c r="AU7" s="665"/>
      <c r="AV7" s="556"/>
      <c r="AW7" s="556"/>
    </row>
    <row r="8" spans="1:49" ht="15.95" customHeight="1" thickBot="1">
      <c r="A8" s="665"/>
      <c r="B8" s="665"/>
      <c r="C8" s="665"/>
      <c r="D8" s="665"/>
      <c r="E8" s="665"/>
      <c r="AQ8" s="674" t="str">
        <f ca="1">PROJSTATUS_N</f>
        <v>Enter Measures</v>
      </c>
      <c r="AR8" s="674"/>
      <c r="AS8" s="674"/>
      <c r="AT8" s="674"/>
      <c r="AU8" s="674"/>
      <c r="AV8" s="558"/>
      <c r="AW8" s="558"/>
    </row>
    <row r="9" spans="1:49" ht="15.95" customHeight="1">
      <c r="A9" s="636" t="str">
        <f>N5S4</f>
        <v>Offer Form</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49" ht="15.95" customHeight="1">
      <c r="F11" s="1346" t="s">
        <v>963</v>
      </c>
      <c r="G11" s="1346"/>
      <c r="H11" s="1346"/>
      <c r="I11" s="1346"/>
      <c r="J11" s="1346"/>
      <c r="K11" s="1346"/>
      <c r="L11" s="1346"/>
      <c r="M11" s="1346"/>
      <c r="N11" s="1346"/>
      <c r="O11" s="1346"/>
      <c r="P11" s="1346"/>
      <c r="Q11" s="1346"/>
      <c r="R11" s="1346"/>
      <c r="S11" s="1346"/>
      <c r="T11" s="1346"/>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row>
    <row r="12" spans="1:49" ht="15.95" customHeight="1">
      <c r="F12" s="1346"/>
      <c r="G12" s="1346"/>
      <c r="H12" s="1346"/>
      <c r="I12" s="1346"/>
      <c r="J12" s="1346"/>
      <c r="K12" s="1346"/>
      <c r="L12" s="1346"/>
      <c r="M12" s="1346"/>
      <c r="N12" s="1346"/>
      <c r="O12" s="1346"/>
      <c r="P12" s="1346"/>
      <c r="Q12" s="1346"/>
      <c r="R12" s="1346"/>
      <c r="S12" s="1346"/>
      <c r="T12" s="1346"/>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row>
    <row r="13" spans="1:49" ht="15.95" customHeight="1">
      <c r="I13" s="115"/>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7"/>
    </row>
    <row r="14" spans="1:49" ht="15.95" customHeight="1">
      <c r="I14" s="118"/>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46"/>
    </row>
    <row r="15" spans="1:49" ht="15.95" customHeight="1">
      <c r="I15" s="118"/>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46"/>
    </row>
    <row r="16" spans="1:49" ht="15.95" customHeight="1">
      <c r="I16" s="118"/>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46"/>
    </row>
    <row r="17" spans="9:37" ht="15.95" customHeight="1">
      <c r="I17" s="118"/>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46"/>
    </row>
    <row r="18" spans="9:37" ht="15.95" customHeight="1">
      <c r="I18" s="118"/>
      <c r="J18" s="1349" t="s">
        <v>14</v>
      </c>
      <c r="K18" s="1349"/>
      <c r="L18" s="1349"/>
      <c r="M18" s="1349"/>
      <c r="N18" s="1349"/>
      <c r="O18" s="1349"/>
      <c r="P18" s="1349"/>
      <c r="Q18" s="1349"/>
      <c r="R18" s="1349"/>
      <c r="S18" s="1349"/>
      <c r="T18" s="1349"/>
      <c r="U18" s="1349"/>
      <c r="V18" s="1349"/>
      <c r="W18" s="1349"/>
      <c r="X18" s="250"/>
      <c r="Y18" s="250"/>
      <c r="Z18" s="250"/>
      <c r="AA18" s="250"/>
      <c r="AB18" s="250"/>
      <c r="AC18" s="1350" t="str">
        <f>CONCATENATE("Project # ",PROJID_N)</f>
        <v xml:space="preserve">Project # </v>
      </c>
      <c r="AD18" s="1350"/>
      <c r="AE18" s="1350"/>
      <c r="AF18" s="1350"/>
      <c r="AG18" s="1350"/>
      <c r="AH18" s="1350"/>
      <c r="AI18" s="1350"/>
      <c r="AJ18" s="1350"/>
      <c r="AK18" s="46"/>
    </row>
    <row r="19" spans="9:37" ht="15.95" customHeight="1">
      <c r="I19" s="118"/>
      <c r="J19" s="1349"/>
      <c r="K19" s="1349"/>
      <c r="L19" s="1349"/>
      <c r="M19" s="1349"/>
      <c r="N19" s="1349"/>
      <c r="O19" s="1349"/>
      <c r="P19" s="1349"/>
      <c r="Q19" s="1349"/>
      <c r="R19" s="1349"/>
      <c r="S19" s="1349"/>
      <c r="T19" s="1349"/>
      <c r="U19" s="1349"/>
      <c r="V19" s="1349"/>
      <c r="W19" s="1349"/>
      <c r="X19" s="250"/>
      <c r="Y19" s="250"/>
      <c r="Z19" s="250"/>
      <c r="AA19" s="250"/>
      <c r="AB19" s="250"/>
      <c r="AC19" s="1350"/>
      <c r="AD19" s="1350"/>
      <c r="AE19" s="1350"/>
      <c r="AF19" s="1350"/>
      <c r="AG19" s="1350"/>
      <c r="AH19" s="1350"/>
      <c r="AI19" s="1350"/>
      <c r="AJ19" s="1350"/>
      <c r="AK19" s="46"/>
    </row>
    <row r="20" spans="9:37" ht="15.95" customHeight="1">
      <c r="I20" s="118"/>
      <c r="J20" s="1349"/>
      <c r="K20" s="1349"/>
      <c r="L20" s="1349"/>
      <c r="M20" s="1349"/>
      <c r="N20" s="1349"/>
      <c r="O20" s="1349"/>
      <c r="P20" s="1349"/>
      <c r="Q20" s="1349"/>
      <c r="R20" s="1349"/>
      <c r="S20" s="1349"/>
      <c r="T20" s="1349"/>
      <c r="U20" s="1349"/>
      <c r="V20" s="1349"/>
      <c r="W20" s="1349"/>
      <c r="X20" s="250"/>
      <c r="Y20" s="250"/>
      <c r="Z20" s="250"/>
      <c r="AA20" s="250"/>
      <c r="AB20" s="250"/>
      <c r="AC20" s="1350"/>
      <c r="AD20" s="1350"/>
      <c r="AE20" s="1350"/>
      <c r="AF20" s="1350"/>
      <c r="AG20" s="1350"/>
      <c r="AH20" s="1350"/>
      <c r="AI20" s="1350"/>
      <c r="AJ20" s="1350"/>
      <c r="AK20" s="46"/>
    </row>
    <row r="21" spans="9:37" ht="15.95" customHeight="1">
      <c r="I21" s="118"/>
      <c r="J21" s="1351">
        <f>N02S03F01</f>
        <v>0</v>
      </c>
      <c r="K21" s="1351"/>
      <c r="L21" s="1351"/>
      <c r="M21" s="1351"/>
      <c r="N21" s="1351"/>
      <c r="O21" s="1351"/>
      <c r="P21" s="1351"/>
      <c r="Q21" s="1351"/>
      <c r="R21" s="1351"/>
      <c r="S21" s="1351"/>
      <c r="T21" s="1351"/>
      <c r="U21" s="1351"/>
      <c r="V21" s="1351"/>
      <c r="W21" s="1351"/>
      <c r="X21" s="1352">
        <f>N02S03F26</f>
        <v>0</v>
      </c>
      <c r="Y21" s="1352"/>
      <c r="Z21" s="1352"/>
      <c r="AA21" s="1352"/>
      <c r="AB21" s="1352"/>
      <c r="AC21" s="1352"/>
      <c r="AD21" s="1352"/>
      <c r="AE21" s="1352"/>
      <c r="AF21" s="1352"/>
      <c r="AG21" s="1352"/>
      <c r="AH21" s="1352"/>
      <c r="AI21" s="1352"/>
      <c r="AJ21" s="1352"/>
      <c r="AK21" s="46"/>
    </row>
    <row r="22" spans="9:37" ht="15.95" customHeight="1">
      <c r="I22" s="118"/>
      <c r="J22" s="1351"/>
      <c r="K22" s="1351"/>
      <c r="L22" s="1351"/>
      <c r="M22" s="1351"/>
      <c r="N22" s="1351"/>
      <c r="O22" s="1351"/>
      <c r="P22" s="1351"/>
      <c r="Q22" s="1351"/>
      <c r="R22" s="1351"/>
      <c r="S22" s="1351"/>
      <c r="T22" s="1351"/>
      <c r="U22" s="1351"/>
      <c r="V22" s="1351"/>
      <c r="W22" s="1351"/>
      <c r="X22" s="1352"/>
      <c r="Y22" s="1352"/>
      <c r="Z22" s="1352"/>
      <c r="AA22" s="1352"/>
      <c r="AB22" s="1352"/>
      <c r="AC22" s="1352"/>
      <c r="AD22" s="1352"/>
      <c r="AE22" s="1352"/>
      <c r="AF22" s="1352"/>
      <c r="AG22" s="1352"/>
      <c r="AH22" s="1352"/>
      <c r="AI22" s="1352"/>
      <c r="AJ22" s="1352"/>
      <c r="AK22" s="46"/>
    </row>
    <row r="23" spans="9:37" ht="15.95" customHeight="1">
      <c r="I23" s="118"/>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46"/>
    </row>
    <row r="24" spans="9:37" ht="15.95" customHeight="1">
      <c r="I24" s="118"/>
      <c r="J24" s="1353" t="s">
        <v>949</v>
      </c>
      <c r="K24" s="1353"/>
      <c r="L24" s="1353"/>
      <c r="M24" s="1353"/>
      <c r="N24" s="1353"/>
      <c r="O24" s="119"/>
      <c r="P24" s="1354" t="s">
        <v>950</v>
      </c>
      <c r="Q24" s="1354"/>
      <c r="R24" s="1354"/>
      <c r="S24" s="1354"/>
      <c r="T24" s="1354"/>
      <c r="U24" s="1354"/>
      <c r="V24" s="120"/>
      <c r="W24" s="1354" t="s">
        <v>951</v>
      </c>
      <c r="X24" s="1354"/>
      <c r="Y24" s="1354"/>
      <c r="Z24" s="1354"/>
      <c r="AA24" s="1354"/>
      <c r="AB24" s="1354"/>
      <c r="AC24" s="120"/>
      <c r="AD24" s="1355" t="s">
        <v>2074</v>
      </c>
      <c r="AE24" s="1355"/>
      <c r="AF24" s="1355"/>
      <c r="AG24" s="1355"/>
      <c r="AH24" s="1355"/>
      <c r="AI24" s="1355"/>
      <c r="AJ24" s="120"/>
      <c r="AK24" s="46"/>
    </row>
    <row r="25" spans="9:37" ht="15.95" customHeight="1">
      <c r="I25" s="118"/>
      <c r="J25" s="1353"/>
      <c r="K25" s="1353"/>
      <c r="L25" s="1353"/>
      <c r="M25" s="1353"/>
      <c r="N25" s="1353"/>
      <c r="O25" s="119"/>
      <c r="P25" s="1347">
        <f>N02S03F15</f>
        <v>0</v>
      </c>
      <c r="Q25" s="1347"/>
      <c r="R25" s="1347"/>
      <c r="S25" s="1347"/>
      <c r="T25" s="1347"/>
      <c r="U25" s="1347"/>
      <c r="V25" s="121"/>
      <c r="W25" s="1347" t="str">
        <f>CONCATENATE(N02S03F21," ",N02S03F22)</f>
        <v xml:space="preserve"> </v>
      </c>
      <c r="X25" s="1347"/>
      <c r="Y25" s="1347"/>
      <c r="Z25" s="1347"/>
      <c r="AA25" s="1347"/>
      <c r="AB25" s="1347"/>
      <c r="AC25" s="121"/>
      <c r="AD25" s="1347" t="str">
        <f>CONCATENATE(N02S03F06," ",N02S03F07)</f>
        <v xml:space="preserve"> </v>
      </c>
      <c r="AE25" s="1347"/>
      <c r="AF25" s="1347"/>
      <c r="AG25" s="1347"/>
      <c r="AH25" s="1347"/>
      <c r="AI25" s="1347"/>
      <c r="AJ25" s="122"/>
      <c r="AK25" s="46"/>
    </row>
    <row r="26" spans="9:37" ht="15.95" customHeight="1">
      <c r="I26" s="118"/>
      <c r="J26" s="1353"/>
      <c r="K26" s="1353"/>
      <c r="L26" s="1353"/>
      <c r="M26" s="1353"/>
      <c r="N26" s="1353"/>
      <c r="O26" s="119"/>
      <c r="P26" s="1347">
        <f>N02S03F16</f>
        <v>0</v>
      </c>
      <c r="Q26" s="1347"/>
      <c r="R26" s="1347"/>
      <c r="S26" s="1347"/>
      <c r="T26" s="1347"/>
      <c r="U26" s="1347"/>
      <c r="V26" s="121"/>
      <c r="W26" s="1348" t="str">
        <f>N02S03F24</f>
        <v/>
      </c>
      <c r="X26" s="1348"/>
      <c r="Y26" s="1348"/>
      <c r="Z26" s="1348"/>
      <c r="AA26" s="1348"/>
      <c r="AB26" s="1348"/>
      <c r="AC26" s="123"/>
      <c r="AD26" s="1348">
        <f>N02S03F09</f>
        <v>0</v>
      </c>
      <c r="AE26" s="1348"/>
      <c r="AF26" s="1348"/>
      <c r="AG26" s="1348"/>
      <c r="AH26" s="1348"/>
      <c r="AI26" s="1348"/>
      <c r="AJ26" s="124"/>
      <c r="AK26" s="46"/>
    </row>
    <row r="27" spans="9:37" ht="15.95" customHeight="1">
      <c r="I27" s="118"/>
      <c r="J27" s="1353"/>
      <c r="K27" s="1353"/>
      <c r="L27" s="1353"/>
      <c r="M27" s="1353"/>
      <c r="N27" s="1353"/>
      <c r="O27" s="119"/>
      <c r="P27" s="1347" t="str">
        <f>CONCATENATE(N02S03F17,", ",N02S03F18," ",N02S03F19)</f>
        <v xml:space="preserve">, MO </v>
      </c>
      <c r="Q27" s="1347"/>
      <c r="R27" s="1347"/>
      <c r="S27" s="1347"/>
      <c r="T27" s="1347"/>
      <c r="U27" s="1347"/>
      <c r="V27" s="121"/>
      <c r="W27" s="1347" t="str">
        <f>N02S03F25</f>
        <v/>
      </c>
      <c r="X27" s="1347"/>
      <c r="Y27" s="1347"/>
      <c r="Z27" s="1347"/>
      <c r="AA27" s="1347"/>
      <c r="AB27" s="1347"/>
      <c r="AC27" s="121"/>
      <c r="AD27" s="1347">
        <f>N02S03F10</f>
        <v>0</v>
      </c>
      <c r="AE27" s="1347"/>
      <c r="AF27" s="1347"/>
      <c r="AG27" s="1347"/>
      <c r="AH27" s="1347"/>
      <c r="AI27" s="1347"/>
      <c r="AJ27" s="122"/>
      <c r="AK27" s="46"/>
    </row>
    <row r="28" spans="9:37" ht="15.95" customHeight="1">
      <c r="I28" s="118"/>
      <c r="J28" s="21"/>
      <c r="K28" s="21"/>
      <c r="L28" s="21"/>
      <c r="M28" s="21"/>
      <c r="N28" s="21"/>
      <c r="O28" s="21"/>
      <c r="P28" s="125"/>
      <c r="Q28" s="125"/>
      <c r="R28" s="125"/>
      <c r="S28" s="125"/>
      <c r="T28" s="125"/>
      <c r="U28" s="125"/>
      <c r="V28" s="125"/>
      <c r="W28" s="125"/>
      <c r="X28" s="125"/>
      <c r="Y28" s="125"/>
      <c r="Z28" s="125"/>
      <c r="AA28" s="125"/>
      <c r="AB28" s="125"/>
      <c r="AC28" s="125"/>
      <c r="AD28" s="125"/>
      <c r="AE28" s="125"/>
      <c r="AF28" s="125"/>
      <c r="AG28" s="125"/>
      <c r="AH28" s="125"/>
      <c r="AI28" s="125"/>
      <c r="AJ28" s="125"/>
      <c r="AK28" s="46"/>
    </row>
    <row r="29" spans="9:37" ht="15.95" customHeight="1">
      <c r="I29" s="118"/>
      <c r="J29" s="1341" t="s">
        <v>1741</v>
      </c>
      <c r="K29" s="1341"/>
      <c r="L29" s="1341"/>
      <c r="M29" s="1341"/>
      <c r="N29" s="1341"/>
      <c r="O29" s="126"/>
      <c r="P29" s="1342" t="s">
        <v>13</v>
      </c>
      <c r="Q29" s="1342"/>
      <c r="R29" s="1342"/>
      <c r="S29" s="1342"/>
      <c r="T29" s="1342"/>
      <c r="U29" s="1342"/>
      <c r="V29" s="127"/>
      <c r="W29" s="1343" t="s">
        <v>16</v>
      </c>
      <c r="X29" s="1343"/>
      <c r="Y29" s="1343"/>
      <c r="Z29" s="1343"/>
      <c r="AA29" s="1343"/>
      <c r="AB29" s="1343"/>
      <c r="AC29" s="127"/>
      <c r="AD29" s="127"/>
      <c r="AE29" s="127"/>
      <c r="AF29" s="127"/>
      <c r="AG29" s="127"/>
      <c r="AH29" s="127"/>
      <c r="AI29" s="127"/>
      <c r="AJ29" s="127"/>
      <c r="AK29" s="46"/>
    </row>
    <row r="30" spans="9:37" ht="15.95" customHeight="1">
      <c r="I30" s="118"/>
      <c r="J30" s="1341"/>
      <c r="K30" s="1341"/>
      <c r="L30" s="1341"/>
      <c r="M30" s="1341"/>
      <c r="N30" s="1341"/>
      <c r="O30" s="126"/>
      <c r="P30" s="1344">
        <f>N02S02F01</f>
        <v>0</v>
      </c>
      <c r="Q30" s="1344"/>
      <c r="R30" s="1344"/>
      <c r="S30" s="1344"/>
      <c r="T30" s="1344"/>
      <c r="U30" s="1344"/>
      <c r="V30" s="128"/>
      <c r="W30" s="1344" t="str">
        <f>CONCATENATE(N02S02F06," ",N02S02F07)</f>
        <v xml:space="preserve"> </v>
      </c>
      <c r="X30" s="1344"/>
      <c r="Y30" s="1344"/>
      <c r="Z30" s="1344"/>
      <c r="AA30" s="1344"/>
      <c r="AB30" s="1344"/>
      <c r="AC30" s="129"/>
      <c r="AD30" s="129"/>
      <c r="AE30" s="128"/>
      <c r="AF30" s="128"/>
      <c r="AG30" s="128"/>
      <c r="AH30" s="128"/>
      <c r="AI30" s="128"/>
      <c r="AJ30" s="130"/>
      <c r="AK30" s="46"/>
    </row>
    <row r="31" spans="9:37" ht="15.95" customHeight="1">
      <c r="I31" s="118"/>
      <c r="J31" s="1341"/>
      <c r="K31" s="1341"/>
      <c r="L31" s="1341"/>
      <c r="M31" s="1341"/>
      <c r="N31" s="1341"/>
      <c r="O31" s="126"/>
      <c r="P31" s="1344">
        <f>N02S02F02</f>
        <v>0</v>
      </c>
      <c r="Q31" s="1344"/>
      <c r="R31" s="1344"/>
      <c r="S31" s="1344"/>
      <c r="T31" s="1344"/>
      <c r="U31" s="1344"/>
      <c r="V31" s="128"/>
      <c r="W31" s="1345">
        <f>N02S02F09</f>
        <v>0</v>
      </c>
      <c r="X31" s="1345"/>
      <c r="Y31" s="1345"/>
      <c r="Z31" s="1345"/>
      <c r="AA31" s="1345"/>
      <c r="AB31" s="1345"/>
      <c r="AC31" s="129"/>
      <c r="AD31" s="129"/>
      <c r="AE31" s="131"/>
      <c r="AF31" s="131"/>
      <c r="AG31" s="131"/>
      <c r="AH31" s="131"/>
      <c r="AI31" s="131"/>
      <c r="AJ31" s="132"/>
      <c r="AK31" s="46"/>
    </row>
    <row r="32" spans="9:37" ht="15.95" customHeight="1">
      <c r="I32" s="118"/>
      <c r="J32" s="1341"/>
      <c r="K32" s="1341"/>
      <c r="L32" s="1341"/>
      <c r="M32" s="1341"/>
      <c r="N32" s="1341"/>
      <c r="O32" s="126"/>
      <c r="P32" s="1344" t="str">
        <f>CONCATENATE(N02S02F03,", ",N02S02F04," ",N02S02F05)</f>
        <v xml:space="preserve">,  </v>
      </c>
      <c r="Q32" s="1344"/>
      <c r="R32" s="1344"/>
      <c r="S32" s="1344"/>
      <c r="T32" s="1344"/>
      <c r="U32" s="1344"/>
      <c r="V32" s="128"/>
      <c r="W32" s="1344">
        <f>N02S02F10</f>
        <v>0</v>
      </c>
      <c r="X32" s="1344"/>
      <c r="Y32" s="1344"/>
      <c r="Z32" s="1344"/>
      <c r="AA32" s="1344"/>
      <c r="AB32" s="1344"/>
      <c r="AC32" s="129"/>
      <c r="AD32" s="129"/>
      <c r="AE32" s="128"/>
      <c r="AF32" s="128"/>
      <c r="AG32" s="128"/>
      <c r="AH32" s="128"/>
      <c r="AI32" s="128"/>
      <c r="AJ32" s="133"/>
      <c r="AK32" s="46"/>
    </row>
    <row r="33" spans="9:37" ht="15.95" customHeight="1">
      <c r="I33" s="118"/>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46"/>
    </row>
    <row r="34" spans="9:37" ht="15.95" customHeight="1">
      <c r="I34" s="118"/>
      <c r="J34" s="1312" t="s">
        <v>1207</v>
      </c>
      <c r="K34" s="1312"/>
      <c r="L34" s="1312"/>
      <c r="M34" s="1312"/>
      <c r="N34" s="1312"/>
      <c r="O34" s="126"/>
      <c r="P34" s="1323" t="s">
        <v>1369</v>
      </c>
      <c r="Q34" s="1323"/>
      <c r="R34" s="1323"/>
      <c r="S34" s="1323"/>
      <c r="T34" s="1324" t="s">
        <v>725</v>
      </c>
      <c r="U34" s="1324"/>
      <c r="V34" s="1324"/>
      <c r="W34" s="1324"/>
      <c r="X34" s="1324"/>
      <c r="Y34" s="1324" t="s">
        <v>961</v>
      </c>
      <c r="Z34" s="1324"/>
      <c r="AA34" s="1324"/>
      <c r="AB34" s="1324"/>
      <c r="AC34" s="1324"/>
      <c r="AD34" s="1324" t="s">
        <v>1212</v>
      </c>
      <c r="AE34" s="1324"/>
      <c r="AF34" s="1324"/>
      <c r="AG34" s="1324"/>
      <c r="AH34" s="1324"/>
      <c r="AI34" s="134"/>
      <c r="AJ34" s="134"/>
      <c r="AK34" s="46"/>
    </row>
    <row r="35" spans="9:37" ht="15.95" customHeight="1">
      <c r="I35" s="118"/>
      <c r="J35" s="1312"/>
      <c r="K35" s="1312"/>
      <c r="L35" s="1312"/>
      <c r="M35" s="1312"/>
      <c r="N35" s="1312"/>
      <c r="O35" s="126"/>
      <c r="P35" s="1325" t="s">
        <v>50</v>
      </c>
      <c r="Q35" s="1325"/>
      <c r="R35" s="1325"/>
      <c r="S35" s="1326"/>
      <c r="T35" s="1329">
        <f>KWHTOTALCUST_N</f>
        <v>0</v>
      </c>
      <c r="U35" s="1330"/>
      <c r="V35" s="1330"/>
      <c r="W35" s="1330"/>
      <c r="X35" s="1331"/>
      <c r="Y35" s="1332">
        <f>COSTTOTALCUST_N</f>
        <v>0</v>
      </c>
      <c r="Z35" s="1333"/>
      <c r="AA35" s="1333"/>
      <c r="AB35" s="1333"/>
      <c r="AC35" s="1334"/>
      <c r="AD35" s="1332">
        <f>INCENTOTALCUST_N</f>
        <v>0</v>
      </c>
      <c r="AE35" s="1333"/>
      <c r="AF35" s="1333"/>
      <c r="AG35" s="1333"/>
      <c r="AH35" s="1333"/>
      <c r="AI35" s="130"/>
      <c r="AJ35" s="130"/>
      <c r="AK35" s="46"/>
    </row>
    <row r="36" spans="9:37" ht="15.95" customHeight="1">
      <c r="I36" s="118"/>
      <c r="J36" s="1312"/>
      <c r="K36" s="1312"/>
      <c r="L36" s="1312"/>
      <c r="M36" s="1312"/>
      <c r="N36" s="1312"/>
      <c r="O36" s="126"/>
      <c r="P36" s="1335" t="s">
        <v>21</v>
      </c>
      <c r="Q36" s="1335"/>
      <c r="R36" s="1335"/>
      <c r="S36" s="1336"/>
      <c r="T36" s="1337">
        <f>T35</f>
        <v>0</v>
      </c>
      <c r="U36" s="1338"/>
      <c r="V36" s="1338"/>
      <c r="W36" s="1338"/>
      <c r="X36" s="1339"/>
      <c r="Y36" s="1327">
        <f>Y35</f>
        <v>0</v>
      </c>
      <c r="Z36" s="1328"/>
      <c r="AA36" s="1328"/>
      <c r="AB36" s="1328"/>
      <c r="AC36" s="1340"/>
      <c r="AD36" s="1327">
        <f>AD35</f>
        <v>0</v>
      </c>
      <c r="AE36" s="1328"/>
      <c r="AF36" s="1328"/>
      <c r="AG36" s="1328"/>
      <c r="AH36" s="1328"/>
      <c r="AI36" s="135"/>
      <c r="AJ36" s="135"/>
      <c r="AK36" s="46"/>
    </row>
    <row r="37" spans="9:37" ht="15.95" customHeight="1">
      <c r="I37" s="118"/>
      <c r="AK37" s="46"/>
    </row>
    <row r="38" spans="9:37" ht="15.95" customHeight="1">
      <c r="I38" s="118"/>
      <c r="J38" s="1312" t="s">
        <v>1264</v>
      </c>
      <c r="K38" s="1312"/>
      <c r="L38" s="1312"/>
      <c r="M38" s="1312"/>
      <c r="N38" s="1312"/>
      <c r="O38" s="136"/>
      <c r="P38" s="136"/>
      <c r="Q38" s="136"/>
      <c r="R38" s="136"/>
      <c r="S38" s="136"/>
      <c r="T38" s="136"/>
      <c r="U38" s="136"/>
      <c r="V38" s="136"/>
      <c r="W38" s="136"/>
      <c r="X38" s="136"/>
      <c r="Y38" s="136"/>
      <c r="Z38" s="136"/>
      <c r="AA38" s="136"/>
      <c r="AB38" s="136"/>
      <c r="AC38" s="136"/>
      <c r="AD38" s="136"/>
      <c r="AE38" s="136"/>
      <c r="AF38" s="136"/>
      <c r="AG38" s="136"/>
      <c r="AH38" s="137"/>
      <c r="AI38" s="137"/>
      <c r="AJ38" s="137"/>
      <c r="AK38" s="46"/>
    </row>
    <row r="39" spans="9:37" ht="15.95" customHeight="1">
      <c r="I39" s="118"/>
      <c r="J39" s="1312"/>
      <c r="K39" s="1312"/>
      <c r="L39" s="1312"/>
      <c r="M39" s="1312"/>
      <c r="N39" s="1312"/>
      <c r="O39" s="136"/>
      <c r="P39" s="136"/>
      <c r="Q39" s="136"/>
      <c r="R39" s="136"/>
      <c r="S39" s="136"/>
      <c r="T39" s="136"/>
      <c r="U39" s="136"/>
      <c r="V39" s="136"/>
      <c r="W39" s="136"/>
      <c r="X39" s="136"/>
      <c r="Y39" s="136"/>
      <c r="Z39" s="136"/>
      <c r="AA39" s="136"/>
      <c r="AB39" s="136"/>
      <c r="AC39" s="136"/>
      <c r="AD39" s="136"/>
      <c r="AE39" s="136"/>
      <c r="AF39" s="136"/>
      <c r="AG39" s="136"/>
      <c r="AH39" s="137"/>
      <c r="AI39" s="137"/>
      <c r="AJ39" s="137"/>
      <c r="AK39" s="46"/>
    </row>
    <row r="40" spans="9:37" ht="15.95" customHeight="1">
      <c r="I40" s="118"/>
      <c r="J40" s="1312"/>
      <c r="K40" s="1312"/>
      <c r="L40" s="1312"/>
      <c r="M40" s="1312"/>
      <c r="N40" s="1312"/>
      <c r="O40" s="129" t="s">
        <v>952</v>
      </c>
      <c r="P40" s="128"/>
      <c r="Q40" s="128"/>
      <c r="R40" s="128"/>
      <c r="S40" s="128"/>
      <c r="T40" s="128"/>
      <c r="U40" s="128"/>
      <c r="V40" s="128"/>
      <c r="W40" s="128"/>
      <c r="X40" s="129" t="s">
        <v>953</v>
      </c>
      <c r="Y40" s="129"/>
      <c r="Z40" s="128"/>
      <c r="AA40" s="128"/>
      <c r="AB40" s="128"/>
      <c r="AC40" s="128"/>
      <c r="AD40" s="128"/>
      <c r="AE40" s="128"/>
      <c r="AF40" s="136"/>
      <c r="AG40" s="129" t="s">
        <v>954</v>
      </c>
      <c r="AH40" s="128"/>
      <c r="AI40" s="128"/>
      <c r="AJ40" s="128"/>
      <c r="AK40" s="46"/>
    </row>
    <row r="41" spans="9:37" ht="15.95" customHeight="1">
      <c r="I41" s="118"/>
      <c r="J41" s="1312"/>
      <c r="K41" s="1312"/>
      <c r="L41" s="1312"/>
      <c r="M41" s="1312"/>
      <c r="N41" s="1312"/>
      <c r="O41" s="1318"/>
      <c r="P41" s="1318"/>
      <c r="Q41" s="1318"/>
      <c r="R41" s="1318"/>
      <c r="S41" s="1318"/>
      <c r="T41" s="1318"/>
      <c r="U41" s="1318"/>
      <c r="V41" s="1318"/>
      <c r="W41" s="454"/>
      <c r="X41" s="1319" t="str">
        <f>IF(O41="","",O41)</f>
        <v/>
      </c>
      <c r="Y41" s="1319"/>
      <c r="Z41" s="1319"/>
      <c r="AA41" s="1319"/>
      <c r="AB41" s="1319"/>
      <c r="AC41" s="1319"/>
      <c r="AD41" s="1319"/>
      <c r="AE41" s="1319"/>
      <c r="AF41" s="455"/>
      <c r="AG41" s="1320"/>
      <c r="AH41" s="1320"/>
      <c r="AI41" s="1320"/>
      <c r="AJ41" s="138"/>
      <c r="AK41" s="46"/>
    </row>
    <row r="42" spans="9:37" ht="15.95" customHeight="1">
      <c r="I42" s="118"/>
      <c r="J42" s="1312"/>
      <c r="K42" s="1312"/>
      <c r="L42" s="1312"/>
      <c r="M42" s="1312"/>
      <c r="N42" s="1312"/>
      <c r="O42" s="1321" t="str">
        <f ca="1">IF(CELL("protect",O41)=1,"eSignature Signed","")</f>
        <v>eSignature Signed</v>
      </c>
      <c r="P42" s="1321"/>
      <c r="Q42" s="1321"/>
      <c r="R42" s="1321"/>
      <c r="S42" s="1321"/>
      <c r="T42" s="136"/>
      <c r="U42" s="136"/>
      <c r="V42" s="136"/>
      <c r="W42" s="136"/>
      <c r="X42" s="136"/>
      <c r="Y42" s="136"/>
      <c r="Z42" s="136"/>
      <c r="AA42" s="136"/>
      <c r="AB42" s="136"/>
      <c r="AC42" s="136"/>
      <c r="AD42" s="136"/>
      <c r="AE42" s="136"/>
      <c r="AF42" s="136"/>
      <c r="AG42" s="136"/>
      <c r="AH42" s="136"/>
      <c r="AI42" s="136"/>
      <c r="AJ42" s="136"/>
      <c r="AK42" s="46"/>
    </row>
    <row r="43" spans="9:37" ht="15.95" customHeight="1">
      <c r="I43" s="118"/>
      <c r="AK43" s="46"/>
    </row>
    <row r="44" spans="9:37" ht="15.95" customHeight="1">
      <c r="I44" s="118"/>
      <c r="J44" s="139"/>
      <c r="K44" s="1317" t="s">
        <v>955</v>
      </c>
      <c r="L44" s="1317"/>
      <c r="M44" s="1317"/>
      <c r="N44" s="1317"/>
      <c r="O44" s="1317"/>
      <c r="P44" s="1317"/>
      <c r="Q44" s="1317"/>
      <c r="R44" s="1317"/>
      <c r="S44" s="1317"/>
      <c r="T44" s="1317"/>
      <c r="U44" s="1317"/>
      <c r="V44" s="140"/>
      <c r="X44" s="139"/>
      <c r="Y44" s="1317" t="s">
        <v>956</v>
      </c>
      <c r="Z44" s="1317"/>
      <c r="AA44" s="1317"/>
      <c r="AB44" s="1317"/>
      <c r="AC44" s="1317"/>
      <c r="AD44" s="1317"/>
      <c r="AE44" s="1317"/>
      <c r="AF44" s="1317"/>
      <c r="AG44" s="1317"/>
      <c r="AH44" s="1317"/>
      <c r="AI44" s="1317"/>
      <c r="AJ44" s="140"/>
      <c r="AK44" s="46"/>
    </row>
    <row r="45" spans="9:37" ht="15.95" customHeight="1">
      <c r="I45" s="118"/>
      <c r="J45" s="141"/>
      <c r="K45" s="1317"/>
      <c r="L45" s="1317"/>
      <c r="M45" s="1317"/>
      <c r="N45" s="1317"/>
      <c r="O45" s="1317"/>
      <c r="P45" s="1317"/>
      <c r="Q45" s="1317"/>
      <c r="R45" s="1317"/>
      <c r="S45" s="1317"/>
      <c r="T45" s="1317"/>
      <c r="U45" s="1317"/>
      <c r="V45" s="141"/>
      <c r="X45" s="141"/>
      <c r="Y45" s="1317"/>
      <c r="Z45" s="1317"/>
      <c r="AA45" s="1317"/>
      <c r="AB45" s="1317"/>
      <c r="AC45" s="1317"/>
      <c r="AD45" s="1317"/>
      <c r="AE45" s="1317"/>
      <c r="AF45" s="1317"/>
      <c r="AG45" s="1317"/>
      <c r="AH45" s="1317"/>
      <c r="AI45" s="1317"/>
      <c r="AJ45" s="141"/>
      <c r="AK45" s="46"/>
    </row>
    <row r="46" spans="9:37" ht="15.95" customHeight="1">
      <c r="I46" s="118"/>
      <c r="J46" s="1316" t="s">
        <v>1757</v>
      </c>
      <c r="K46" s="1316"/>
      <c r="L46" s="1316"/>
      <c r="M46" s="1316"/>
      <c r="N46" s="1316"/>
      <c r="O46" s="1316"/>
      <c r="P46" s="1316"/>
      <c r="Q46" s="1316"/>
      <c r="R46" s="1316"/>
      <c r="S46" s="1316"/>
      <c r="T46" s="1316"/>
      <c r="U46" s="1316"/>
      <c r="V46" s="1316"/>
      <c r="X46" s="1322" t="s">
        <v>957</v>
      </c>
      <c r="Y46" s="1322"/>
      <c r="Z46" s="1322"/>
      <c r="AA46" s="1322"/>
      <c r="AB46" s="1322"/>
      <c r="AC46" s="1322"/>
      <c r="AD46" s="1322"/>
      <c r="AE46" s="1322"/>
      <c r="AF46" s="1322"/>
      <c r="AG46" s="1322"/>
      <c r="AH46" s="1322"/>
      <c r="AI46" s="1322"/>
      <c r="AJ46" s="1322"/>
      <c r="AK46" s="46"/>
    </row>
    <row r="47" spans="9:37" ht="15.95" customHeight="1">
      <c r="I47" s="118"/>
      <c r="J47" s="1316"/>
      <c r="K47" s="1316"/>
      <c r="L47" s="1316"/>
      <c r="M47" s="1316"/>
      <c r="N47" s="1316"/>
      <c r="O47" s="1316"/>
      <c r="P47" s="1316"/>
      <c r="Q47" s="1316"/>
      <c r="R47" s="1316"/>
      <c r="S47" s="1316"/>
      <c r="T47" s="1316"/>
      <c r="U47" s="1316"/>
      <c r="V47" s="1316"/>
      <c r="X47" s="1322"/>
      <c r="Y47" s="1322"/>
      <c r="Z47" s="1322"/>
      <c r="AA47" s="1322"/>
      <c r="AB47" s="1322"/>
      <c r="AC47" s="1322"/>
      <c r="AD47" s="1322"/>
      <c r="AE47" s="1322"/>
      <c r="AF47" s="1322"/>
      <c r="AG47" s="1322"/>
      <c r="AH47" s="1322"/>
      <c r="AI47" s="1322"/>
      <c r="AJ47" s="1322"/>
      <c r="AK47" s="46"/>
    </row>
    <row r="48" spans="9:37" ht="15.95" customHeight="1">
      <c r="I48" s="118"/>
      <c r="J48" s="1316"/>
      <c r="K48" s="1316"/>
      <c r="L48" s="1316"/>
      <c r="M48" s="1316"/>
      <c r="N48" s="1316"/>
      <c r="O48" s="1316"/>
      <c r="P48" s="1316"/>
      <c r="Q48" s="1316"/>
      <c r="R48" s="1316"/>
      <c r="S48" s="1316"/>
      <c r="T48" s="1316"/>
      <c r="U48" s="1316"/>
      <c r="V48" s="1316"/>
      <c r="X48" s="1322"/>
      <c r="Y48" s="1322"/>
      <c r="Z48" s="1322"/>
      <c r="AA48" s="1322"/>
      <c r="AB48" s="1322"/>
      <c r="AC48" s="1322"/>
      <c r="AD48" s="1322"/>
      <c r="AE48" s="1322"/>
      <c r="AF48" s="1322"/>
      <c r="AG48" s="1322"/>
      <c r="AH48" s="1322"/>
      <c r="AI48" s="1322"/>
      <c r="AJ48" s="1322"/>
      <c r="AK48" s="46"/>
    </row>
    <row r="49" spans="9:44" ht="15.95" customHeight="1">
      <c r="I49" s="118"/>
      <c r="J49" s="140"/>
      <c r="K49" s="140"/>
      <c r="L49" s="140"/>
      <c r="M49" s="140"/>
      <c r="N49" s="140"/>
      <c r="O49" s="140"/>
      <c r="P49" s="140"/>
      <c r="Q49" s="140"/>
      <c r="R49" s="140"/>
      <c r="S49" s="140"/>
      <c r="T49" s="140"/>
      <c r="U49" s="140"/>
      <c r="V49" s="140"/>
      <c r="X49" s="139"/>
      <c r="Y49" s="139"/>
      <c r="Z49" s="139"/>
      <c r="AA49" s="139"/>
      <c r="AB49" s="139"/>
      <c r="AC49" s="139"/>
      <c r="AD49" s="139"/>
      <c r="AE49" s="139"/>
      <c r="AF49" s="139"/>
      <c r="AG49" s="139"/>
      <c r="AH49" s="139"/>
      <c r="AI49" s="139"/>
      <c r="AJ49" s="139"/>
      <c r="AK49" s="46"/>
    </row>
    <row r="50" spans="9:44" ht="15.95" customHeight="1">
      <c r="I50" s="118"/>
      <c r="J50" s="139"/>
      <c r="K50" s="140"/>
      <c r="L50" s="1307">
        <f>N02S04F07</f>
        <v>0</v>
      </c>
      <c r="M50" s="1307"/>
      <c r="N50" s="1307"/>
      <c r="O50" s="1307"/>
      <c r="P50" s="1307"/>
      <c r="Q50" s="1307"/>
      <c r="R50" s="1307"/>
      <c r="S50" s="1307"/>
      <c r="T50" s="1307"/>
      <c r="U50" s="140"/>
      <c r="V50" s="139"/>
      <c r="X50" s="139"/>
      <c r="Y50" s="1303" t="s">
        <v>958</v>
      </c>
      <c r="Z50" s="1303"/>
      <c r="AA50" s="1303"/>
      <c r="AB50" s="1303"/>
      <c r="AC50" s="1303"/>
      <c r="AD50" s="1303"/>
      <c r="AE50" s="1303"/>
      <c r="AF50" s="139"/>
      <c r="AG50" s="1305" t="s">
        <v>954</v>
      </c>
      <c r="AH50" s="1305"/>
      <c r="AI50" s="1305"/>
      <c r="AJ50" s="139"/>
      <c r="AK50" s="46"/>
    </row>
    <row r="51" spans="9:44" ht="15.95" customHeight="1">
      <c r="I51" s="118"/>
      <c r="J51" s="139"/>
      <c r="K51" s="140"/>
      <c r="L51" s="1308"/>
      <c r="M51" s="1308"/>
      <c r="N51" s="1308"/>
      <c r="O51" s="1308"/>
      <c r="P51" s="1308"/>
      <c r="Q51" s="1308"/>
      <c r="R51" s="1308"/>
      <c r="S51" s="1308"/>
      <c r="T51" s="1308"/>
      <c r="U51" s="140"/>
      <c r="V51" s="139"/>
      <c r="X51" s="139"/>
      <c r="Y51" s="1304"/>
      <c r="Z51" s="1304"/>
      <c r="AA51" s="1304"/>
      <c r="AB51" s="1304"/>
      <c r="AC51" s="1304"/>
      <c r="AD51" s="1304"/>
      <c r="AE51" s="1304"/>
      <c r="AF51" s="139"/>
      <c r="AG51" s="1306"/>
      <c r="AH51" s="1306"/>
      <c r="AI51" s="1306"/>
      <c r="AJ51" s="139"/>
      <c r="AK51" s="46"/>
    </row>
    <row r="52" spans="9:44" ht="15.95" customHeight="1">
      <c r="I52" s="118"/>
      <c r="J52" s="139"/>
      <c r="K52" s="140"/>
      <c r="L52" s="139"/>
      <c r="M52" s="139"/>
      <c r="N52" s="139"/>
      <c r="O52" s="139"/>
      <c r="P52" s="139"/>
      <c r="Q52" s="139"/>
      <c r="R52" s="139"/>
      <c r="S52" s="139"/>
      <c r="T52" s="139"/>
      <c r="U52" s="139"/>
      <c r="V52" s="139"/>
      <c r="X52" s="139"/>
      <c r="Y52" s="139"/>
      <c r="Z52" s="139"/>
      <c r="AA52" s="139"/>
      <c r="AB52" s="139"/>
      <c r="AC52" s="139"/>
      <c r="AD52" s="139"/>
      <c r="AE52" s="139"/>
      <c r="AF52" s="139"/>
      <c r="AG52" s="139"/>
      <c r="AH52" s="139"/>
      <c r="AI52" s="139"/>
      <c r="AJ52" s="139"/>
      <c r="AK52" s="46"/>
    </row>
    <row r="53" spans="9:44" ht="15.95" customHeight="1">
      <c r="I53" s="118"/>
      <c r="J53" s="139"/>
      <c r="K53" s="140"/>
      <c r="L53" s="139"/>
      <c r="M53" s="139"/>
      <c r="N53" s="139"/>
      <c r="O53" s="139"/>
      <c r="P53" s="139"/>
      <c r="Q53" s="139"/>
      <c r="R53" s="139"/>
      <c r="S53" s="139"/>
      <c r="T53" s="139"/>
      <c r="U53" s="139"/>
      <c r="V53" s="139"/>
      <c r="X53" s="139"/>
      <c r="Y53" s="139"/>
      <c r="Z53" s="139"/>
      <c r="AA53" s="139"/>
      <c r="AB53" s="139"/>
      <c r="AC53" s="139"/>
      <c r="AD53" s="139"/>
      <c r="AE53" s="139"/>
      <c r="AF53" s="139"/>
      <c r="AG53" s="139"/>
      <c r="AH53" s="139"/>
      <c r="AI53" s="139"/>
      <c r="AJ53" s="139"/>
      <c r="AK53" s="46"/>
    </row>
    <row r="54" spans="9:44" ht="15.95" customHeight="1">
      <c r="I54" s="118"/>
      <c r="AK54" s="46"/>
    </row>
    <row r="55" spans="9:44" ht="15.95" customHeight="1">
      <c r="I55" s="118"/>
      <c r="J55" s="1311" t="s">
        <v>959</v>
      </c>
      <c r="K55" s="1312" t="s">
        <v>960</v>
      </c>
      <c r="L55" s="1312"/>
      <c r="M55" s="1312"/>
      <c r="N55" s="1312"/>
      <c r="O55" s="255"/>
      <c r="P55" s="255"/>
      <c r="Q55" s="255"/>
      <c r="R55" s="255"/>
      <c r="S55" s="255"/>
      <c r="T55" s="255"/>
      <c r="U55" s="255"/>
      <c r="V55" s="255"/>
      <c r="W55" s="255"/>
      <c r="X55" s="255"/>
      <c r="Y55" s="255"/>
      <c r="Z55" s="255"/>
      <c r="AA55" s="255"/>
      <c r="AB55" s="255"/>
      <c r="AC55" s="142"/>
      <c r="AD55" s="142"/>
      <c r="AE55" s="142"/>
      <c r="AF55" s="142"/>
      <c r="AG55" s="142"/>
      <c r="AH55" s="142"/>
      <c r="AI55" s="142"/>
      <c r="AJ55" s="142"/>
      <c r="AK55" s="46"/>
    </row>
    <row r="56" spans="9:44" ht="15.95" customHeight="1">
      <c r="I56" s="118"/>
      <c r="J56" s="1311"/>
      <c r="K56" s="1312"/>
      <c r="L56" s="1312"/>
      <c r="M56" s="1312"/>
      <c r="N56" s="1312"/>
      <c r="O56" s="255"/>
      <c r="P56" s="1313" t="s">
        <v>1290</v>
      </c>
      <c r="Q56" s="1313"/>
      <c r="R56" s="1313"/>
      <c r="S56" s="1313"/>
      <c r="T56" s="1313"/>
      <c r="U56" s="1313"/>
      <c r="V56" s="1313"/>
      <c r="W56" s="1313"/>
      <c r="X56" s="1313"/>
      <c r="Y56" s="1313"/>
      <c r="Z56" s="1313"/>
      <c r="AA56" s="1313"/>
      <c r="AB56" s="255"/>
      <c r="AC56" s="1263" t="s">
        <v>1256</v>
      </c>
      <c r="AD56" s="1263"/>
      <c r="AE56" s="1263"/>
      <c r="AF56" s="1263"/>
      <c r="AG56" s="1263"/>
      <c r="AH56" s="1263"/>
      <c r="AI56" s="122"/>
      <c r="AJ56" s="142"/>
      <c r="AK56" s="46"/>
    </row>
    <row r="57" spans="9:44" ht="15.95" customHeight="1">
      <c r="I57" s="118"/>
      <c r="J57" s="1311"/>
      <c r="K57" s="1312"/>
      <c r="L57" s="1312"/>
      <c r="M57" s="1312"/>
      <c r="N57" s="1312"/>
      <c r="O57" s="255"/>
      <c r="P57" s="1313"/>
      <c r="Q57" s="1313"/>
      <c r="R57" s="1313"/>
      <c r="S57" s="1313"/>
      <c r="T57" s="1313"/>
      <c r="U57" s="1313"/>
      <c r="V57" s="1313"/>
      <c r="W57" s="1313"/>
      <c r="X57" s="1313"/>
      <c r="Y57" s="1313"/>
      <c r="Z57" s="1313"/>
      <c r="AA57" s="1313"/>
      <c r="AB57" s="255"/>
      <c r="AC57" s="1263"/>
      <c r="AD57" s="1263"/>
      <c r="AE57" s="1263"/>
      <c r="AF57" s="1263"/>
      <c r="AG57" s="1263"/>
      <c r="AH57" s="1263"/>
      <c r="AI57" s="122"/>
      <c r="AJ57" s="139"/>
      <c r="AK57" s="46"/>
    </row>
    <row r="58" spans="9:44" ht="15.95" customHeight="1">
      <c r="I58" s="118"/>
      <c r="J58" s="1311"/>
      <c r="K58" s="1312"/>
      <c r="L58" s="1312"/>
      <c r="M58" s="1312"/>
      <c r="N58" s="1312"/>
      <c r="O58" s="255"/>
      <c r="P58" s="1313"/>
      <c r="Q58" s="1313"/>
      <c r="R58" s="1313"/>
      <c r="S58" s="1313"/>
      <c r="T58" s="1313"/>
      <c r="U58" s="1313"/>
      <c r="V58" s="1313"/>
      <c r="W58" s="1313"/>
      <c r="X58" s="1313"/>
      <c r="Y58" s="1313"/>
      <c r="Z58" s="1313"/>
      <c r="AA58" s="1313"/>
      <c r="AB58" s="255"/>
      <c r="AC58" s="1263"/>
      <c r="AD58" s="1263"/>
      <c r="AE58" s="1263"/>
      <c r="AF58" s="1263"/>
      <c r="AG58" s="1263"/>
      <c r="AH58" s="1263"/>
      <c r="AI58" s="122"/>
      <c r="AJ58" s="139"/>
      <c r="AK58" s="46"/>
      <c r="AM58" s="254"/>
      <c r="AN58" s="254"/>
      <c r="AO58" s="254"/>
      <c r="AP58" s="254"/>
      <c r="AQ58" s="254"/>
      <c r="AR58" s="254"/>
    </row>
    <row r="59" spans="9:44" ht="15.95" customHeight="1">
      <c r="I59" s="118"/>
      <c r="J59" s="1311"/>
      <c r="K59" s="1312"/>
      <c r="L59" s="1312"/>
      <c r="M59" s="1312"/>
      <c r="N59" s="1312"/>
      <c r="O59" s="1314"/>
      <c r="P59" s="1314"/>
      <c r="Q59" s="1314"/>
      <c r="R59" s="1314"/>
      <c r="S59" s="1314"/>
      <c r="T59" s="1314"/>
      <c r="U59" s="1314"/>
      <c r="V59" s="1314"/>
      <c r="W59" s="1314"/>
      <c r="X59" s="1314"/>
      <c r="Y59" s="1314"/>
      <c r="Z59" s="1314"/>
      <c r="AA59" s="1314"/>
      <c r="AB59" s="1314"/>
      <c r="AC59" s="1314"/>
      <c r="AD59" s="1314"/>
      <c r="AE59" s="1314"/>
      <c r="AF59" s="1314"/>
      <c r="AG59" s="1314"/>
      <c r="AH59" s="1314"/>
      <c r="AI59" s="1314"/>
      <c r="AJ59" s="1314"/>
      <c r="AK59" s="46"/>
      <c r="AM59" s="254"/>
      <c r="AN59" s="254"/>
      <c r="AO59" s="254"/>
      <c r="AP59" s="254"/>
      <c r="AQ59" s="254"/>
      <c r="AR59" s="254"/>
    </row>
    <row r="60" spans="9:44" ht="15.95" customHeight="1">
      <c r="I60" s="118"/>
      <c r="J60" s="1315" t="str">
        <f>"Please do not order or purchase anything before returning this signed Offer Form. For questions email or call at " &amp; Hotline &amp; "."</f>
        <v>Please do not order or purchase anything before returning this signed Offer Form. For questions email or call at (844)687-0229.</v>
      </c>
      <c r="K60" s="1315"/>
      <c r="L60" s="1315"/>
      <c r="M60" s="1315"/>
      <c r="N60" s="1315"/>
      <c r="O60" s="1315"/>
      <c r="P60" s="1315"/>
      <c r="Q60" s="1315"/>
      <c r="R60" s="1315"/>
      <c r="S60" s="1315"/>
      <c r="T60" s="1315"/>
      <c r="U60" s="1315"/>
      <c r="V60" s="1315"/>
      <c r="W60" s="1315"/>
      <c r="X60" s="1315"/>
      <c r="Y60" s="1315"/>
      <c r="Z60" s="1315"/>
      <c r="AA60" s="1315"/>
      <c r="AB60" s="1315"/>
      <c r="AC60" s="1315"/>
      <c r="AD60" s="1315"/>
      <c r="AE60" s="1315"/>
      <c r="AF60" s="1315"/>
      <c r="AG60" s="1315"/>
      <c r="AH60" s="1315"/>
      <c r="AI60" s="1315"/>
      <c r="AJ60" s="1315"/>
      <c r="AK60" s="46"/>
      <c r="AM60" s="254"/>
      <c r="AN60" s="254"/>
      <c r="AO60" s="254"/>
      <c r="AP60" s="254"/>
      <c r="AQ60" s="254"/>
      <c r="AR60" s="254"/>
    </row>
    <row r="61" spans="9:44" ht="15.95" customHeight="1">
      <c r="I61" s="118"/>
      <c r="J61" s="1309" t="s">
        <v>2324</v>
      </c>
      <c r="K61" s="1309"/>
      <c r="L61" s="1309"/>
      <c r="M61" s="1309"/>
      <c r="N61" s="1309"/>
      <c r="O61" s="1309"/>
      <c r="P61" s="1309"/>
      <c r="Q61" s="1309"/>
      <c r="R61" s="1309"/>
      <c r="S61" s="1309"/>
      <c r="T61" s="1309"/>
      <c r="U61" s="1309"/>
      <c r="V61" s="1309"/>
      <c r="W61" s="1309"/>
      <c r="X61" s="1309"/>
      <c r="Y61" s="1309"/>
      <c r="Z61" s="1309"/>
      <c r="AA61" s="1309"/>
      <c r="AB61" s="1309"/>
      <c r="AC61" s="1309"/>
      <c r="AD61" s="1309"/>
      <c r="AE61" s="1309"/>
      <c r="AF61" s="1309"/>
      <c r="AG61" s="1309"/>
      <c r="AH61" s="1309"/>
      <c r="AI61" s="1309"/>
      <c r="AJ61" s="1309"/>
      <c r="AK61" s="46"/>
      <c r="AM61" s="254"/>
      <c r="AN61" s="254"/>
      <c r="AO61" s="254"/>
      <c r="AP61" s="254"/>
      <c r="AQ61" s="254"/>
      <c r="AR61" s="254"/>
    </row>
    <row r="62" spans="9:44" ht="15.95" customHeight="1">
      <c r="I62" s="118"/>
      <c r="J62" s="1309"/>
      <c r="K62" s="1309"/>
      <c r="L62" s="1309"/>
      <c r="M62" s="1309"/>
      <c r="N62" s="1309"/>
      <c r="O62" s="1309"/>
      <c r="P62" s="1309"/>
      <c r="Q62" s="1309"/>
      <c r="R62" s="1309"/>
      <c r="S62" s="1309"/>
      <c r="T62" s="1309"/>
      <c r="U62" s="1309"/>
      <c r="V62" s="1309"/>
      <c r="W62" s="1309"/>
      <c r="X62" s="1309"/>
      <c r="Y62" s="1309"/>
      <c r="Z62" s="1309"/>
      <c r="AA62" s="1309"/>
      <c r="AB62" s="1309"/>
      <c r="AC62" s="1309"/>
      <c r="AD62" s="1309"/>
      <c r="AE62" s="1309"/>
      <c r="AF62" s="1309"/>
      <c r="AG62" s="1309"/>
      <c r="AH62" s="1309"/>
      <c r="AI62" s="1309"/>
      <c r="AJ62" s="1309"/>
      <c r="AK62" s="46"/>
    </row>
    <row r="63" spans="9:44" ht="15.95" customHeight="1">
      <c r="I63" s="118"/>
      <c r="J63" s="1309"/>
      <c r="K63" s="1309"/>
      <c r="L63" s="1309"/>
      <c r="M63" s="1309"/>
      <c r="N63" s="1309"/>
      <c r="O63" s="1309"/>
      <c r="P63" s="1309"/>
      <c r="Q63" s="1309"/>
      <c r="R63" s="1309"/>
      <c r="S63" s="1309"/>
      <c r="T63" s="1309"/>
      <c r="U63" s="1309"/>
      <c r="V63" s="1309"/>
      <c r="W63" s="1309"/>
      <c r="X63" s="1309"/>
      <c r="Y63" s="1309"/>
      <c r="Z63" s="1309"/>
      <c r="AA63" s="1309"/>
      <c r="AB63" s="1309"/>
      <c r="AC63" s="1309"/>
      <c r="AD63" s="1309"/>
      <c r="AE63" s="1309"/>
      <c r="AF63" s="1309"/>
      <c r="AG63" s="1309"/>
      <c r="AH63" s="1309"/>
      <c r="AI63" s="1309"/>
      <c r="AJ63" s="1309"/>
      <c r="AK63" s="46"/>
    </row>
    <row r="64" spans="9:44" ht="15.95" customHeight="1">
      <c r="I64" s="118"/>
      <c r="J64" s="1309"/>
      <c r="K64" s="1309"/>
      <c r="L64" s="1309"/>
      <c r="M64" s="1309"/>
      <c r="N64" s="1309"/>
      <c r="O64" s="1309"/>
      <c r="P64" s="1309"/>
      <c r="Q64" s="1309"/>
      <c r="R64" s="1309"/>
      <c r="S64" s="1309"/>
      <c r="T64" s="1309"/>
      <c r="U64" s="1309"/>
      <c r="V64" s="1309"/>
      <c r="W64" s="1309"/>
      <c r="X64" s="1309"/>
      <c r="Y64" s="1309"/>
      <c r="Z64" s="1309"/>
      <c r="AA64" s="1309"/>
      <c r="AB64" s="1309"/>
      <c r="AC64" s="1309"/>
      <c r="AD64" s="1309"/>
      <c r="AE64" s="1309"/>
      <c r="AF64" s="1309"/>
      <c r="AG64" s="1309"/>
      <c r="AH64" s="1309"/>
      <c r="AI64" s="1309"/>
      <c r="AJ64" s="1309"/>
      <c r="AK64" s="46"/>
    </row>
    <row r="65" spans="9:49" ht="15.95" customHeight="1">
      <c r="I65" s="118"/>
      <c r="J65" s="1309"/>
      <c r="K65" s="1309"/>
      <c r="L65" s="1309"/>
      <c r="M65" s="1309"/>
      <c r="N65" s="1309"/>
      <c r="O65" s="1309"/>
      <c r="P65" s="1309"/>
      <c r="Q65" s="1309"/>
      <c r="R65" s="1309"/>
      <c r="S65" s="1309"/>
      <c r="T65" s="1309"/>
      <c r="U65" s="1309"/>
      <c r="V65" s="1309"/>
      <c r="W65" s="1309"/>
      <c r="X65" s="1309"/>
      <c r="Y65" s="1309"/>
      <c r="Z65" s="1309"/>
      <c r="AA65" s="1309"/>
      <c r="AB65" s="1309"/>
      <c r="AC65" s="1309"/>
      <c r="AD65" s="1309"/>
      <c r="AE65" s="1309"/>
      <c r="AF65" s="1309"/>
      <c r="AG65" s="1309"/>
      <c r="AH65" s="1309"/>
      <c r="AI65" s="1309"/>
      <c r="AJ65" s="1309"/>
      <c r="AK65" s="46"/>
    </row>
    <row r="66" spans="9:49" ht="15.95" customHeight="1">
      <c r="I66" s="118"/>
      <c r="J66" s="1309"/>
      <c r="K66" s="1309"/>
      <c r="L66" s="1309"/>
      <c r="M66" s="1309"/>
      <c r="N66" s="1309"/>
      <c r="O66" s="1309"/>
      <c r="P66" s="1309"/>
      <c r="Q66" s="1309"/>
      <c r="R66" s="1309"/>
      <c r="S66" s="1309"/>
      <c r="T66" s="1309"/>
      <c r="U66" s="1309"/>
      <c r="V66" s="1309"/>
      <c r="W66" s="1309"/>
      <c r="X66" s="1309"/>
      <c r="Y66" s="1309"/>
      <c r="Z66" s="1309"/>
      <c r="AA66" s="1309"/>
      <c r="AB66" s="1309"/>
      <c r="AC66" s="1309"/>
      <c r="AD66" s="1309"/>
      <c r="AE66" s="1309"/>
      <c r="AF66" s="1309"/>
      <c r="AG66" s="1309"/>
      <c r="AH66" s="1309"/>
      <c r="AI66" s="1309"/>
      <c r="AJ66" s="1309"/>
      <c r="AK66" s="46"/>
    </row>
    <row r="67" spans="9:49" ht="15.95" customHeight="1">
      <c r="I67" s="118"/>
      <c r="J67" s="1309"/>
      <c r="K67" s="1309"/>
      <c r="L67" s="1309"/>
      <c r="M67" s="1309"/>
      <c r="N67" s="1309"/>
      <c r="O67" s="1309"/>
      <c r="P67" s="1309"/>
      <c r="Q67" s="1309"/>
      <c r="R67" s="1309"/>
      <c r="S67" s="1309"/>
      <c r="T67" s="1309"/>
      <c r="U67" s="1309"/>
      <c r="V67" s="1309"/>
      <c r="W67" s="1309"/>
      <c r="X67" s="1309"/>
      <c r="Y67" s="1309"/>
      <c r="Z67" s="1309"/>
      <c r="AA67" s="1309"/>
      <c r="AB67" s="1309"/>
      <c r="AC67" s="1309"/>
      <c r="AD67" s="1309"/>
      <c r="AE67" s="1309"/>
      <c r="AF67" s="1309"/>
      <c r="AG67" s="1309"/>
      <c r="AH67" s="1309"/>
      <c r="AI67" s="1309"/>
      <c r="AJ67" s="1309"/>
      <c r="AK67" s="46"/>
    </row>
    <row r="68" spans="9:49" ht="15.95" customHeight="1">
      <c r="I68" s="118"/>
      <c r="J68" s="1309"/>
      <c r="K68" s="1309"/>
      <c r="L68" s="1309"/>
      <c r="M68" s="1309"/>
      <c r="N68" s="1309"/>
      <c r="O68" s="1309"/>
      <c r="P68" s="1309"/>
      <c r="Q68" s="1309"/>
      <c r="R68" s="1309"/>
      <c r="S68" s="1309"/>
      <c r="T68" s="1309"/>
      <c r="U68" s="1309"/>
      <c r="V68" s="1309"/>
      <c r="W68" s="1309"/>
      <c r="X68" s="1309"/>
      <c r="Y68" s="1309"/>
      <c r="Z68" s="1309"/>
      <c r="AA68" s="1309"/>
      <c r="AB68" s="1309"/>
      <c r="AC68" s="1309"/>
      <c r="AD68" s="1309"/>
      <c r="AE68" s="1309"/>
      <c r="AF68" s="1309"/>
      <c r="AG68" s="1309"/>
      <c r="AH68" s="1309"/>
      <c r="AI68" s="1309"/>
      <c r="AJ68" s="1309"/>
      <c r="AK68" s="46"/>
    </row>
    <row r="69" spans="9:49" ht="15.95" customHeight="1">
      <c r="I69" s="118"/>
      <c r="J69" s="1309"/>
      <c r="K69" s="1309"/>
      <c r="L69" s="1309"/>
      <c r="M69" s="1309"/>
      <c r="N69" s="1309"/>
      <c r="O69" s="1309"/>
      <c r="P69" s="1309"/>
      <c r="Q69" s="1309"/>
      <c r="R69" s="1309"/>
      <c r="S69" s="1309"/>
      <c r="T69" s="1309"/>
      <c r="U69" s="1309"/>
      <c r="V69" s="1309"/>
      <c r="W69" s="1309"/>
      <c r="X69" s="1309"/>
      <c r="Y69" s="1309"/>
      <c r="Z69" s="1309"/>
      <c r="AA69" s="1309"/>
      <c r="AB69" s="1309"/>
      <c r="AC69" s="1309"/>
      <c r="AD69" s="1309"/>
      <c r="AE69" s="1309"/>
      <c r="AF69" s="1309"/>
      <c r="AG69" s="1309"/>
      <c r="AH69" s="1309"/>
      <c r="AI69" s="1309"/>
      <c r="AJ69" s="1309"/>
      <c r="AK69" s="46"/>
    </row>
    <row r="70" spans="9:49" ht="15.95" customHeight="1">
      <c r="I70" s="118"/>
      <c r="J70" s="1309"/>
      <c r="K70" s="1309"/>
      <c r="L70" s="1309"/>
      <c r="M70" s="1309"/>
      <c r="N70" s="1309"/>
      <c r="O70" s="1309"/>
      <c r="P70" s="1309"/>
      <c r="Q70" s="1309"/>
      <c r="R70" s="1309"/>
      <c r="S70" s="1309"/>
      <c r="T70" s="1309"/>
      <c r="U70" s="1309"/>
      <c r="V70" s="1309"/>
      <c r="W70" s="1309"/>
      <c r="X70" s="1309"/>
      <c r="Y70" s="1309"/>
      <c r="Z70" s="1309"/>
      <c r="AA70" s="1309"/>
      <c r="AB70" s="1309"/>
      <c r="AC70" s="1309"/>
      <c r="AD70" s="1309"/>
      <c r="AE70" s="1309"/>
      <c r="AF70" s="1309"/>
      <c r="AG70" s="1309"/>
      <c r="AH70" s="1309"/>
      <c r="AI70" s="1309"/>
      <c r="AJ70" s="1309"/>
      <c r="AK70" s="46"/>
    </row>
    <row r="71" spans="9:49" ht="15.95" customHeight="1">
      <c r="I71" s="118"/>
      <c r="J71" s="1310" t="str">
        <f>"Evergy Business Energy Savings Program • " &amp; Hotline &amp; " • businessrebates@evergy.com"</f>
        <v>Evergy Business Energy Savings Program • (844)687-0229 • businessrebates@evergy.com</v>
      </c>
      <c r="K71" s="1310"/>
      <c r="L71" s="1310"/>
      <c r="M71" s="1310"/>
      <c r="N71" s="1310"/>
      <c r="O71" s="1310"/>
      <c r="P71" s="1310"/>
      <c r="Q71" s="1310"/>
      <c r="R71" s="1310"/>
      <c r="S71" s="1310"/>
      <c r="T71" s="1310"/>
      <c r="U71" s="1310"/>
      <c r="V71" s="1310"/>
      <c r="W71" s="1310"/>
      <c r="X71" s="1310"/>
      <c r="Y71" s="1310"/>
      <c r="Z71" s="1310"/>
      <c r="AA71" s="1310"/>
      <c r="AB71" s="1310"/>
      <c r="AC71" s="1310"/>
      <c r="AD71" s="1310"/>
      <c r="AE71" s="1310"/>
      <c r="AF71" s="1310"/>
      <c r="AG71" s="1310"/>
      <c r="AH71" s="1310"/>
      <c r="AI71" s="1310"/>
      <c r="AJ71" s="1310"/>
      <c r="AK71" s="46"/>
      <c r="AS71" s="254"/>
      <c r="AT71" s="254"/>
      <c r="AU71" s="254"/>
      <c r="AV71" s="254"/>
      <c r="AW71" s="254"/>
    </row>
    <row r="72" spans="9:49" ht="15.95" customHeight="1">
      <c r="I72" s="118"/>
      <c r="J72" s="1310"/>
      <c r="K72" s="1310"/>
      <c r="L72" s="1310"/>
      <c r="M72" s="1310"/>
      <c r="N72" s="1310"/>
      <c r="O72" s="1310"/>
      <c r="P72" s="1310"/>
      <c r="Q72" s="1310"/>
      <c r="R72" s="1310"/>
      <c r="S72" s="1310"/>
      <c r="T72" s="1310"/>
      <c r="U72" s="1310"/>
      <c r="V72" s="1310"/>
      <c r="W72" s="1310"/>
      <c r="X72" s="1310"/>
      <c r="Y72" s="1310"/>
      <c r="Z72" s="1310"/>
      <c r="AA72" s="1310"/>
      <c r="AB72" s="1310"/>
      <c r="AC72" s="1310"/>
      <c r="AD72" s="1310"/>
      <c r="AE72" s="1310"/>
      <c r="AF72" s="1310"/>
      <c r="AG72" s="1310"/>
      <c r="AH72" s="1310"/>
      <c r="AI72" s="1310"/>
      <c r="AJ72" s="1310"/>
      <c r="AK72" s="46"/>
      <c r="AS72" s="254"/>
      <c r="AT72" s="254"/>
      <c r="AU72" s="254"/>
      <c r="AV72" s="254"/>
      <c r="AW72" s="254"/>
    </row>
    <row r="73" spans="9:49" ht="15.95" customHeight="1">
      <c r="I73" s="144"/>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6"/>
      <c r="AS73" s="254"/>
      <c r="AT73" s="254"/>
      <c r="AU73" s="254"/>
      <c r="AV73" s="254"/>
      <c r="AW73" s="254"/>
    </row>
    <row r="74" spans="9:49" ht="15.95" customHeight="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S74" s="254"/>
      <c r="AT74" s="254"/>
      <c r="AU74" s="254"/>
      <c r="AV74" s="254"/>
      <c r="AW74" s="254"/>
    </row>
    <row r="75" spans="9:49" ht="15.95" customHeight="1">
      <c r="AS75" s="254"/>
      <c r="AT75" s="254"/>
      <c r="AU75" s="254"/>
      <c r="AV75" s="254"/>
      <c r="AW75" s="254"/>
    </row>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dQt49epxv0mN75pO+rbtE19aLV6TZ62yO78ZWCwR/mgpPQzRQUUvsQ39ieglZWgRyDD5txdq83oAM1goX4c+xw==" saltValue="47gFgOjNQMMwIa1rWDmwPw==" spinCount="100000" sheet="1" objects="1" scenarios="1" selectLockedCells="1"/>
  <mergeCells count="74">
    <mergeCell ref="W25:AB25"/>
    <mergeCell ref="AD25:AI25"/>
    <mergeCell ref="P27:U27"/>
    <mergeCell ref="W27:AB27"/>
    <mergeCell ref="AD27:AI27"/>
    <mergeCell ref="AP1:AS3"/>
    <mergeCell ref="A5:E6"/>
    <mergeCell ref="AQ5:AU6"/>
    <mergeCell ref="A7:E7"/>
    <mergeCell ref="AQ7:AU7"/>
    <mergeCell ref="F1:I3"/>
    <mergeCell ref="J1:M3"/>
    <mergeCell ref="O1:AE3"/>
    <mergeCell ref="AL1:AO3"/>
    <mergeCell ref="AT1:AW3"/>
    <mergeCell ref="A8:E8"/>
    <mergeCell ref="AQ8:AU8"/>
    <mergeCell ref="F11:AP12"/>
    <mergeCell ref="P26:U26"/>
    <mergeCell ref="W26:AB26"/>
    <mergeCell ref="AD26:AI26"/>
    <mergeCell ref="A9:AW10"/>
    <mergeCell ref="J18:W20"/>
    <mergeCell ref="AC18:AJ20"/>
    <mergeCell ref="J21:W22"/>
    <mergeCell ref="X21:AJ22"/>
    <mergeCell ref="J24:N27"/>
    <mergeCell ref="P24:U24"/>
    <mergeCell ref="W24:AB24"/>
    <mergeCell ref="AD24:AI24"/>
    <mergeCell ref="P25:U25"/>
    <mergeCell ref="J29:N32"/>
    <mergeCell ref="P29:U29"/>
    <mergeCell ref="W29:AB29"/>
    <mergeCell ref="P30:U30"/>
    <mergeCell ref="W30:AB30"/>
    <mergeCell ref="P31:U31"/>
    <mergeCell ref="W31:AB31"/>
    <mergeCell ref="P32:U32"/>
    <mergeCell ref="W32:AB32"/>
    <mergeCell ref="J34:N36"/>
    <mergeCell ref="P34:S34"/>
    <mergeCell ref="T34:X34"/>
    <mergeCell ref="Y34:AC34"/>
    <mergeCell ref="AD34:AH34"/>
    <mergeCell ref="P35:S35"/>
    <mergeCell ref="AD36:AH36"/>
    <mergeCell ref="T35:X35"/>
    <mergeCell ref="Y35:AC35"/>
    <mergeCell ref="AD35:AH35"/>
    <mergeCell ref="P36:S36"/>
    <mergeCell ref="T36:X36"/>
    <mergeCell ref="Y36:AC36"/>
    <mergeCell ref="J46:V48"/>
    <mergeCell ref="K44:U45"/>
    <mergeCell ref="Y44:AI45"/>
    <mergeCell ref="J38:N42"/>
    <mergeCell ref="O41:V41"/>
    <mergeCell ref="X41:AE41"/>
    <mergeCell ref="AG41:AI41"/>
    <mergeCell ref="O42:S42"/>
    <mergeCell ref="X46:AJ48"/>
    <mergeCell ref="M200:AG201"/>
    <mergeCell ref="J55:J59"/>
    <mergeCell ref="K55:N59"/>
    <mergeCell ref="P56:AA58"/>
    <mergeCell ref="AC56:AH58"/>
    <mergeCell ref="O59:AJ59"/>
    <mergeCell ref="J60:AJ60"/>
    <mergeCell ref="Y50:AE51"/>
    <mergeCell ref="AG50:AI51"/>
    <mergeCell ref="L50:T51"/>
    <mergeCell ref="J61:AJ70"/>
    <mergeCell ref="J71:AJ72"/>
  </mergeCells>
  <conditionalFormatting sqref="F11">
    <cfRule type="expression" dxfId="28" priority="11">
      <formula>#REF!-TODAY()&gt;=7</formula>
    </cfRule>
    <cfRule type="expression" dxfId="27" priority="12">
      <formula>AND(#REF!-TODAY()&lt;7,#REF!-TODAY()&gt;2)</formula>
    </cfRule>
    <cfRule type="expression" dxfId="26" priority="13">
      <formula>AND(#REF!-TODAY()&lt;=2,#REF!-TODAY()&gt;=0)</formula>
    </cfRule>
  </conditionalFormatting>
  <conditionalFormatting sqref="L50">
    <cfRule type="expression" dxfId="25" priority="7">
      <formula>L50&lt;&gt;N02S04F07</formula>
    </cfRule>
    <cfRule type="containsBlanks" dxfId="24" priority="15">
      <formula>LEN(TRIM(L50))=0</formula>
    </cfRule>
  </conditionalFormatting>
  <conditionalFormatting sqref="O41 AG41">
    <cfRule type="containsBlanks" dxfId="23" priority="14">
      <formula>LEN(TRIM(O41))=0</formula>
    </cfRule>
  </conditionalFormatting>
  <conditionalFormatting sqref="Y50">
    <cfRule type="containsBlanks" dxfId="22" priority="5">
      <formula>LEN(TRIM(Y50))=0</formula>
    </cfRule>
    <cfRule type="expression" dxfId="21" priority="6">
      <formula>Y50&lt;&gt;"Customer Signature"</formula>
    </cfRule>
  </conditionalFormatting>
  <conditionalFormatting sqref="AG50">
    <cfRule type="containsBlanks" dxfId="20" priority="3">
      <formula>LEN(TRIM(AG50))=0</formula>
    </cfRule>
    <cfRule type="expression" dxfId="19" priority="4">
      <formula>AG50&lt;&gt;"Date"</formula>
    </cfRule>
  </conditionalFormatting>
  <conditionalFormatting sqref="AQ8:AW8">
    <cfRule type="expression" dxfId="18" priority="1765">
      <formula>IF($AQ$8=PROJSTATMEASURE,FALSE,TRUE)</formula>
    </cfRule>
  </conditionalFormatting>
  <hyperlinks>
    <hyperlink ref="AC56:AH58" r:id="rId1" display="✉ Draft Email" xr:uid="{EB5CD455-25CC-4199-9FD2-52EAB12CE0E8}"/>
    <hyperlink ref="B202" r:id="rId2" display="businessrebates@evergy.com" xr:uid="{8DFBAFE8-78E4-4572-9F1F-F47980971F1C}"/>
  </hyperlinks>
  <printOptions horizontalCentered="1"/>
  <pageMargins left="0" right="0" top="0" bottom="0" header="0" footer="0"/>
  <pageSetup scale="81" orientation="portrait" r:id="rId3"/>
  <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0A83-94E6-40CC-A9D2-F8A22F551E2F}">
  <sheetPr codeName="Sheet60">
    <tabColor theme="9" tint="0.59999389629810485"/>
    <pageSetUpPr fitToPage="1"/>
  </sheetPr>
  <dimension ref="A1:AW202"/>
  <sheetViews>
    <sheetView showGridLines="0" showRowColHeaders="0" zoomScale="85" zoomScaleNormal="85" workbookViewId="0">
      <selection activeCell="K63" sqref="K63:Q63"/>
    </sheetView>
  </sheetViews>
  <sheetFormatPr defaultColWidth="0" defaultRowHeight="15.95" customHeight="1" zeroHeight="1"/>
  <cols>
    <col min="1" max="49" width="4.7109375" customWidth="1"/>
    <col min="50" max="16384" width="4.710937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B4" s="199"/>
      <c r="C4" s="199"/>
      <c r="D4" s="199"/>
      <c r="E4" s="199"/>
    </row>
    <row r="5" spans="1:49" ht="15.95" customHeight="1">
      <c r="A5" s="667">
        <f>INCENTOTAL_N</f>
        <v>0</v>
      </c>
      <c r="B5" s="667"/>
      <c r="C5" s="667"/>
      <c r="D5" s="667"/>
      <c r="E5" s="667"/>
      <c r="AQ5" s="668">
        <f ca="1">PROGRESSSTATUS_N</f>
        <v>0</v>
      </c>
      <c r="AR5" s="668"/>
      <c r="AS5" s="668"/>
      <c r="AT5" s="668"/>
      <c r="AU5" s="668"/>
      <c r="AV5" s="557"/>
      <c r="AW5" s="557"/>
    </row>
    <row r="6" spans="1:49" ht="15.95" customHeight="1">
      <c r="A6" s="667"/>
      <c r="B6" s="667"/>
      <c r="C6" s="667"/>
      <c r="D6" s="667"/>
      <c r="E6" s="667"/>
      <c r="AQ6" s="668"/>
      <c r="AR6" s="668"/>
      <c r="AS6" s="668"/>
      <c r="AT6" s="668"/>
      <c r="AU6" s="668"/>
      <c r="AV6" s="557"/>
      <c r="AW6" s="557"/>
    </row>
    <row r="7" spans="1:49" ht="15.95" customHeight="1">
      <c r="A7" s="665" t="s">
        <v>20</v>
      </c>
      <c r="B7" s="665"/>
      <c r="C7" s="665"/>
      <c r="D7" s="665"/>
      <c r="E7" s="665"/>
      <c r="AQ7" s="665" t="s">
        <v>179</v>
      </c>
      <c r="AR7" s="665"/>
      <c r="AS7" s="665"/>
      <c r="AT7" s="665"/>
      <c r="AU7" s="665"/>
      <c r="AV7" s="556"/>
      <c r="AW7" s="556"/>
    </row>
    <row r="8" spans="1:49" ht="15.95" customHeight="1" thickBot="1">
      <c r="A8" s="665"/>
      <c r="B8" s="665"/>
      <c r="C8" s="665"/>
      <c r="D8" s="665"/>
      <c r="E8" s="665"/>
      <c r="AQ8" s="674" t="str">
        <f ca="1">PROJSTATUS_N</f>
        <v>Enter Measures</v>
      </c>
      <c r="AR8" s="674"/>
      <c r="AS8" s="674"/>
      <c r="AT8" s="674"/>
      <c r="AU8" s="674"/>
      <c r="AV8" s="558"/>
      <c r="AW8" s="558"/>
    </row>
    <row r="9" spans="1:49" ht="15.95" customHeight="1">
      <c r="A9" s="636" t="str">
        <f>N5S5</f>
        <v>Completion Form</v>
      </c>
      <c r="B9" s="636"/>
      <c r="C9" s="636"/>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s="636"/>
      <c r="AW9" s="636"/>
    </row>
    <row r="10" spans="1:49" ht="15.95" customHeight="1">
      <c r="A10" s="637"/>
      <c r="B10" s="637"/>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row>
    <row r="11" spans="1:49" ht="15.95" customHeight="1">
      <c r="F11" s="1346" t="s">
        <v>1764</v>
      </c>
      <c r="G11" s="1346"/>
      <c r="H11" s="1346"/>
      <c r="I11" s="1346"/>
      <c r="J11" s="1346"/>
      <c r="K11" s="1346"/>
      <c r="L11" s="1346"/>
      <c r="M11" s="1346"/>
      <c r="N11" s="1346"/>
      <c r="O11" s="1346"/>
      <c r="P11" s="1346"/>
      <c r="Q11" s="1346"/>
      <c r="R11" s="1346"/>
      <c r="S11" s="1346"/>
      <c r="T11" s="1346"/>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row>
    <row r="12" spans="1:49" ht="15.95" customHeight="1">
      <c r="F12" s="1346"/>
      <c r="G12" s="1346"/>
      <c r="H12" s="1346"/>
      <c r="I12" s="1346"/>
      <c r="J12" s="1346"/>
      <c r="K12" s="1346"/>
      <c r="L12" s="1346"/>
      <c r="M12" s="1346"/>
      <c r="N12" s="1346"/>
      <c r="O12" s="1346"/>
      <c r="P12" s="1346"/>
      <c r="Q12" s="1346"/>
      <c r="R12" s="1346"/>
      <c r="S12" s="1346"/>
      <c r="T12" s="1346"/>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row>
    <row r="13" spans="1:49" ht="15.95" customHeight="1">
      <c r="I13" s="115"/>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7"/>
    </row>
    <row r="14" spans="1:49" ht="15.95" customHeight="1">
      <c r="I14" s="27"/>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148"/>
    </row>
    <row r="15" spans="1:49" ht="15.95" customHeight="1">
      <c r="I15" s="27"/>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148"/>
    </row>
    <row r="16" spans="1:49" ht="15.95" customHeight="1">
      <c r="I16" s="27"/>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148"/>
    </row>
    <row r="17" spans="9:43" ht="15.95" customHeight="1">
      <c r="I17" s="27"/>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148"/>
    </row>
    <row r="18" spans="9:43" ht="15.95" customHeight="1">
      <c r="I18" s="27"/>
      <c r="J18" s="1349" t="s">
        <v>15</v>
      </c>
      <c r="K18" s="1349"/>
      <c r="L18" s="1349"/>
      <c r="M18" s="1349"/>
      <c r="N18" s="1349"/>
      <c r="O18" s="1349"/>
      <c r="P18" s="1349"/>
      <c r="Q18" s="1349"/>
      <c r="R18" s="1349"/>
      <c r="S18" s="1349"/>
      <c r="T18" s="1349"/>
      <c r="U18" s="1349"/>
      <c r="V18" s="1349"/>
      <c r="W18" s="1349"/>
      <c r="X18" s="250"/>
      <c r="Y18" s="250"/>
      <c r="Z18" s="250"/>
      <c r="AA18" s="250"/>
      <c r="AB18" s="250"/>
      <c r="AC18" s="1350" t="str">
        <f>CONCATENATE("Project # ",PROJID_N)</f>
        <v xml:space="preserve">Project # </v>
      </c>
      <c r="AD18" s="1350"/>
      <c r="AE18" s="1350"/>
      <c r="AF18" s="1350"/>
      <c r="AG18" s="1350"/>
      <c r="AH18" s="1350"/>
      <c r="AI18" s="1350"/>
      <c r="AJ18" s="1350"/>
      <c r="AK18" s="148"/>
    </row>
    <row r="19" spans="9:43" ht="15.95" customHeight="1">
      <c r="I19" s="27"/>
      <c r="J19" s="1349"/>
      <c r="K19" s="1349"/>
      <c r="L19" s="1349"/>
      <c r="M19" s="1349"/>
      <c r="N19" s="1349"/>
      <c r="O19" s="1349"/>
      <c r="P19" s="1349"/>
      <c r="Q19" s="1349"/>
      <c r="R19" s="1349"/>
      <c r="S19" s="1349"/>
      <c r="T19" s="1349"/>
      <c r="U19" s="1349"/>
      <c r="V19" s="1349"/>
      <c r="W19" s="1349"/>
      <c r="X19" s="250"/>
      <c r="Y19" s="250"/>
      <c r="Z19" s="250"/>
      <c r="AA19" s="250"/>
      <c r="AB19" s="250"/>
      <c r="AC19" s="1350"/>
      <c r="AD19" s="1350"/>
      <c r="AE19" s="1350"/>
      <c r="AF19" s="1350"/>
      <c r="AG19" s="1350"/>
      <c r="AH19" s="1350"/>
      <c r="AI19" s="1350"/>
      <c r="AJ19" s="1350"/>
      <c r="AK19" s="148"/>
    </row>
    <row r="20" spans="9:43" ht="15.95" customHeight="1">
      <c r="I20" s="27"/>
      <c r="J20" s="1349"/>
      <c r="K20" s="1349"/>
      <c r="L20" s="1349"/>
      <c r="M20" s="1349"/>
      <c r="N20" s="1349"/>
      <c r="O20" s="1349"/>
      <c r="P20" s="1349"/>
      <c r="Q20" s="1349"/>
      <c r="R20" s="1349"/>
      <c r="S20" s="1349"/>
      <c r="T20" s="1349"/>
      <c r="U20" s="1349"/>
      <c r="V20" s="1349"/>
      <c r="W20" s="1349"/>
      <c r="X20" s="250"/>
      <c r="Y20" s="250"/>
      <c r="Z20" s="250"/>
      <c r="AA20" s="250"/>
      <c r="AB20" s="250"/>
      <c r="AC20" s="1350"/>
      <c r="AD20" s="1350"/>
      <c r="AE20" s="1350"/>
      <c r="AF20" s="1350"/>
      <c r="AG20" s="1350"/>
      <c r="AH20" s="1350"/>
      <c r="AI20" s="1350"/>
      <c r="AJ20" s="1350"/>
      <c r="AK20" s="148"/>
    </row>
    <row r="21" spans="9:43" ht="15.95" customHeight="1">
      <c r="I21" s="27"/>
      <c r="J21" s="1351">
        <f>N02S03F01</f>
        <v>0</v>
      </c>
      <c r="K21" s="1351"/>
      <c r="L21" s="1351"/>
      <c r="M21" s="1351"/>
      <c r="N21" s="1351"/>
      <c r="O21" s="1351"/>
      <c r="P21" s="1351"/>
      <c r="Q21" s="1351"/>
      <c r="R21" s="1351"/>
      <c r="S21" s="1351"/>
      <c r="T21" s="1351"/>
      <c r="U21" s="1351"/>
      <c r="V21" s="1351"/>
      <c r="W21" s="1351"/>
      <c r="X21" s="1352">
        <f>N02S03F26</f>
        <v>0</v>
      </c>
      <c r="Y21" s="1352"/>
      <c r="Z21" s="1352"/>
      <c r="AA21" s="1352"/>
      <c r="AB21" s="1352"/>
      <c r="AC21" s="1352"/>
      <c r="AD21" s="1352"/>
      <c r="AE21" s="1352"/>
      <c r="AF21" s="1352"/>
      <c r="AG21" s="1352"/>
      <c r="AH21" s="1352"/>
      <c r="AI21" s="1352"/>
      <c r="AJ21" s="1352"/>
      <c r="AK21" s="148"/>
    </row>
    <row r="22" spans="9:43" ht="15.95" customHeight="1">
      <c r="I22" s="27"/>
      <c r="J22" s="1351"/>
      <c r="K22" s="1351"/>
      <c r="L22" s="1351"/>
      <c r="M22" s="1351"/>
      <c r="N22" s="1351"/>
      <c r="O22" s="1351"/>
      <c r="P22" s="1351"/>
      <c r="Q22" s="1351"/>
      <c r="R22" s="1351"/>
      <c r="S22" s="1351"/>
      <c r="T22" s="1351"/>
      <c r="U22" s="1351"/>
      <c r="V22" s="1351"/>
      <c r="W22" s="1351"/>
      <c r="X22" s="1352"/>
      <c r="Y22" s="1352"/>
      <c r="Z22" s="1352"/>
      <c r="AA22" s="1352"/>
      <c r="AB22" s="1352"/>
      <c r="AC22" s="1352"/>
      <c r="AD22" s="1352"/>
      <c r="AE22" s="1352"/>
      <c r="AF22" s="1352"/>
      <c r="AG22" s="1352"/>
      <c r="AH22" s="1352"/>
      <c r="AI22" s="1352"/>
      <c r="AJ22" s="1352"/>
      <c r="AK22" s="148"/>
      <c r="AQ22" t="s">
        <v>322</v>
      </c>
    </row>
    <row r="23" spans="9:43" ht="15.95" customHeight="1">
      <c r="I23" s="27"/>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148"/>
    </row>
    <row r="24" spans="9:43" ht="15.95" customHeight="1">
      <c r="I24" s="27"/>
      <c r="J24" s="1353" t="s">
        <v>949</v>
      </c>
      <c r="K24" s="1353"/>
      <c r="L24" s="1353"/>
      <c r="M24" s="1353"/>
      <c r="N24" s="1353"/>
      <c r="O24" s="119"/>
      <c r="P24" s="1354" t="s">
        <v>950</v>
      </c>
      <c r="Q24" s="1354"/>
      <c r="R24" s="1354"/>
      <c r="S24" s="1354"/>
      <c r="T24" s="1354"/>
      <c r="U24" s="1354"/>
      <c r="V24" s="120"/>
      <c r="W24" s="1354" t="s">
        <v>951</v>
      </c>
      <c r="X24" s="1354"/>
      <c r="Y24" s="1354"/>
      <c r="Z24" s="1354"/>
      <c r="AA24" s="1354"/>
      <c r="AB24" s="1354"/>
      <c r="AC24" s="120"/>
      <c r="AD24" s="1355" t="s">
        <v>2074</v>
      </c>
      <c r="AE24" s="1355"/>
      <c r="AF24" s="1355"/>
      <c r="AG24" s="1355"/>
      <c r="AH24" s="1355"/>
      <c r="AI24" s="1355"/>
      <c r="AJ24" s="120"/>
      <c r="AK24" s="148"/>
    </row>
    <row r="25" spans="9:43" ht="15.95" customHeight="1">
      <c r="I25" s="27"/>
      <c r="J25" s="1353"/>
      <c r="K25" s="1353"/>
      <c r="L25" s="1353"/>
      <c r="M25" s="1353"/>
      <c r="N25" s="1353"/>
      <c r="O25" s="119"/>
      <c r="P25" s="1347">
        <f>N02S03F15</f>
        <v>0</v>
      </c>
      <c r="Q25" s="1347"/>
      <c r="R25" s="1347"/>
      <c r="S25" s="1347"/>
      <c r="T25" s="1347"/>
      <c r="U25" s="1347"/>
      <c r="V25" s="121"/>
      <c r="W25" s="1347" t="str">
        <f>CONCATENATE(N02S03F21," ",N02S03F22)</f>
        <v xml:space="preserve"> </v>
      </c>
      <c r="X25" s="1347"/>
      <c r="Y25" s="1347"/>
      <c r="Z25" s="1347"/>
      <c r="AA25" s="1347"/>
      <c r="AB25" s="1347"/>
      <c r="AC25" s="121"/>
      <c r="AD25" s="1347" t="str">
        <f>CONCATENATE(N02S03F06," ",N02S03F07)</f>
        <v xml:space="preserve"> </v>
      </c>
      <c r="AE25" s="1347"/>
      <c r="AF25" s="1347"/>
      <c r="AG25" s="1347"/>
      <c r="AH25" s="1347"/>
      <c r="AI25" s="1347"/>
      <c r="AJ25" s="122"/>
      <c r="AK25" s="148"/>
    </row>
    <row r="26" spans="9:43" ht="15.95" customHeight="1">
      <c r="I26" s="27"/>
      <c r="J26" s="1353"/>
      <c r="K26" s="1353"/>
      <c r="L26" s="1353"/>
      <c r="M26" s="1353"/>
      <c r="N26" s="1353"/>
      <c r="O26" s="119"/>
      <c r="P26" s="1347">
        <f>N02S03F16</f>
        <v>0</v>
      </c>
      <c r="Q26" s="1347"/>
      <c r="R26" s="1347"/>
      <c r="S26" s="1347"/>
      <c r="T26" s="1347"/>
      <c r="U26" s="1347"/>
      <c r="V26" s="121"/>
      <c r="W26" s="1348" t="str">
        <f>N02S03F24</f>
        <v/>
      </c>
      <c r="X26" s="1348"/>
      <c r="Y26" s="1348"/>
      <c r="Z26" s="1348"/>
      <c r="AA26" s="1348"/>
      <c r="AB26" s="1348"/>
      <c r="AC26" s="123"/>
      <c r="AD26" s="1348">
        <f>N02S03F09</f>
        <v>0</v>
      </c>
      <c r="AE26" s="1348"/>
      <c r="AF26" s="1348"/>
      <c r="AG26" s="1348"/>
      <c r="AH26" s="1348"/>
      <c r="AI26" s="1348"/>
      <c r="AJ26" s="124"/>
      <c r="AK26" s="148"/>
    </row>
    <row r="27" spans="9:43" ht="15.95" customHeight="1">
      <c r="I27" s="27"/>
      <c r="J27" s="1353"/>
      <c r="K27" s="1353"/>
      <c r="L27" s="1353"/>
      <c r="M27" s="1353"/>
      <c r="N27" s="1353"/>
      <c r="O27" s="119"/>
      <c r="P27" s="1347" t="str">
        <f>CONCATENATE(N02S03F17,", ",N02S03F18," ",N02S03F19)</f>
        <v xml:space="preserve">, MO </v>
      </c>
      <c r="Q27" s="1347"/>
      <c r="R27" s="1347"/>
      <c r="S27" s="1347"/>
      <c r="T27" s="1347"/>
      <c r="U27" s="1347"/>
      <c r="V27" s="121"/>
      <c r="W27" s="1347" t="str">
        <f>N02S03F25</f>
        <v/>
      </c>
      <c r="X27" s="1347"/>
      <c r="Y27" s="1347"/>
      <c r="Z27" s="1347"/>
      <c r="AA27" s="1347"/>
      <c r="AB27" s="1347"/>
      <c r="AC27" s="121"/>
      <c r="AD27" s="1347">
        <f>N02S03F10</f>
        <v>0</v>
      </c>
      <c r="AE27" s="1347"/>
      <c r="AF27" s="1347"/>
      <c r="AG27" s="1347"/>
      <c r="AH27" s="1347"/>
      <c r="AI27" s="1347"/>
      <c r="AJ27" s="122"/>
      <c r="AK27" s="148"/>
    </row>
    <row r="28" spans="9:43" ht="15.95" customHeight="1">
      <c r="I28" s="27"/>
      <c r="J28" s="21"/>
      <c r="K28" s="21"/>
      <c r="L28" s="21"/>
      <c r="M28" s="21"/>
      <c r="N28" s="21"/>
      <c r="O28" s="21"/>
      <c r="P28" s="125"/>
      <c r="Q28" s="125"/>
      <c r="R28" s="125"/>
      <c r="S28" s="125"/>
      <c r="T28" s="125"/>
      <c r="U28" s="125"/>
      <c r="V28" s="125"/>
      <c r="W28" s="125"/>
      <c r="X28" s="125"/>
      <c r="Y28" s="125"/>
      <c r="Z28" s="125"/>
      <c r="AA28" s="125"/>
      <c r="AB28" s="125"/>
      <c r="AC28" s="125"/>
      <c r="AD28" s="125"/>
      <c r="AE28" s="125"/>
      <c r="AF28" s="125"/>
      <c r="AG28" s="125"/>
      <c r="AH28" s="125"/>
      <c r="AI28" s="125"/>
      <c r="AJ28" s="125"/>
      <c r="AK28" s="148"/>
    </row>
    <row r="29" spans="9:43" ht="15.95" customHeight="1">
      <c r="I29" s="27"/>
      <c r="J29" s="1341" t="s">
        <v>1741</v>
      </c>
      <c r="K29" s="1341"/>
      <c r="L29" s="1341"/>
      <c r="M29" s="1341"/>
      <c r="N29" s="1341"/>
      <c r="O29" s="126"/>
      <c r="P29" s="1342" t="s">
        <v>13</v>
      </c>
      <c r="Q29" s="1342"/>
      <c r="R29" s="1342"/>
      <c r="S29" s="1342"/>
      <c r="T29" s="1342"/>
      <c r="U29" s="1342"/>
      <c r="V29" s="127"/>
      <c r="W29" s="1343" t="s">
        <v>16</v>
      </c>
      <c r="X29" s="1343"/>
      <c r="Y29" s="1343"/>
      <c r="Z29" s="1343"/>
      <c r="AA29" s="1343"/>
      <c r="AB29" s="1343"/>
      <c r="AC29" s="127"/>
      <c r="AD29" s="127"/>
      <c r="AE29" s="127"/>
      <c r="AF29" s="127"/>
      <c r="AG29" s="127"/>
      <c r="AH29" s="127"/>
      <c r="AI29" s="127"/>
      <c r="AJ29" s="127"/>
      <c r="AK29" s="148"/>
    </row>
    <row r="30" spans="9:43" ht="15.95" customHeight="1">
      <c r="I30" s="27"/>
      <c r="J30" s="1341"/>
      <c r="K30" s="1341"/>
      <c r="L30" s="1341"/>
      <c r="M30" s="1341"/>
      <c r="N30" s="1341"/>
      <c r="O30" s="126"/>
      <c r="P30" s="1344">
        <f>N02S02F01</f>
        <v>0</v>
      </c>
      <c r="Q30" s="1344"/>
      <c r="R30" s="1344"/>
      <c r="S30" s="1344"/>
      <c r="T30" s="1344"/>
      <c r="U30" s="1344"/>
      <c r="V30" s="128"/>
      <c r="W30" s="1344" t="str">
        <f>CONCATENATE(N02S02F06," ",N02S02F07)</f>
        <v xml:space="preserve"> </v>
      </c>
      <c r="X30" s="1344"/>
      <c r="Y30" s="1344"/>
      <c r="Z30" s="1344"/>
      <c r="AA30" s="1344"/>
      <c r="AB30" s="1344"/>
      <c r="AC30" s="129"/>
      <c r="AD30" s="129"/>
      <c r="AE30" s="128"/>
      <c r="AF30" s="128"/>
      <c r="AG30" s="128"/>
      <c r="AH30" s="128"/>
      <c r="AI30" s="128"/>
      <c r="AJ30" s="130"/>
      <c r="AK30" s="148"/>
    </row>
    <row r="31" spans="9:43" ht="15.95" customHeight="1">
      <c r="I31" s="27"/>
      <c r="J31" s="1341"/>
      <c r="K31" s="1341"/>
      <c r="L31" s="1341"/>
      <c r="M31" s="1341"/>
      <c r="N31" s="1341"/>
      <c r="O31" s="126"/>
      <c r="P31" s="1344">
        <f>N02S02F02</f>
        <v>0</v>
      </c>
      <c r="Q31" s="1344"/>
      <c r="R31" s="1344"/>
      <c r="S31" s="1344"/>
      <c r="T31" s="1344"/>
      <c r="U31" s="1344"/>
      <c r="V31" s="128"/>
      <c r="W31" s="1345">
        <f>N02S02F09</f>
        <v>0</v>
      </c>
      <c r="X31" s="1345"/>
      <c r="Y31" s="1345"/>
      <c r="Z31" s="1345"/>
      <c r="AA31" s="1345"/>
      <c r="AB31" s="1345"/>
      <c r="AC31" s="129"/>
      <c r="AD31" s="129"/>
      <c r="AE31" s="131"/>
      <c r="AF31" s="131"/>
      <c r="AG31" s="131"/>
      <c r="AH31" s="131"/>
      <c r="AI31" s="131"/>
      <c r="AJ31" s="132"/>
      <c r="AK31" s="148"/>
    </row>
    <row r="32" spans="9:43" ht="15.95" customHeight="1">
      <c r="I32" s="27"/>
      <c r="J32" s="1341"/>
      <c r="K32" s="1341"/>
      <c r="L32" s="1341"/>
      <c r="M32" s="1341"/>
      <c r="N32" s="1341"/>
      <c r="O32" s="126"/>
      <c r="P32" s="1344" t="str">
        <f>CONCATENATE(N02S02F03,", ",N02S02F04," ",N02S02F05)</f>
        <v xml:space="preserve">,  </v>
      </c>
      <c r="Q32" s="1344"/>
      <c r="R32" s="1344"/>
      <c r="S32" s="1344"/>
      <c r="T32" s="1344"/>
      <c r="U32" s="1344"/>
      <c r="V32" s="128"/>
      <c r="W32" s="1344">
        <f>N02S02F10</f>
        <v>0</v>
      </c>
      <c r="X32" s="1344"/>
      <c r="Y32" s="1344"/>
      <c r="Z32" s="1344"/>
      <c r="AA32" s="1344"/>
      <c r="AB32" s="1344"/>
      <c r="AC32" s="129"/>
      <c r="AD32" s="129"/>
      <c r="AE32" s="128"/>
      <c r="AF32" s="128"/>
      <c r="AG32" s="128"/>
      <c r="AH32" s="128"/>
      <c r="AI32" s="128"/>
      <c r="AJ32" s="133"/>
      <c r="AK32" s="148"/>
    </row>
    <row r="33" spans="9:37" ht="15.95" customHeight="1">
      <c r="I33" s="27"/>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148"/>
    </row>
    <row r="34" spans="9:37" ht="15.95" customHeight="1">
      <c r="I34" s="27"/>
      <c r="J34" s="1312" t="s">
        <v>1207</v>
      </c>
      <c r="K34" s="1312"/>
      <c r="L34" s="1312"/>
      <c r="M34" s="1312"/>
      <c r="N34" s="1312"/>
      <c r="O34" s="126"/>
      <c r="P34" s="1323" t="s">
        <v>1369</v>
      </c>
      <c r="Q34" s="1323"/>
      <c r="R34" s="1323"/>
      <c r="S34" s="1323"/>
      <c r="T34" s="1324" t="s">
        <v>725</v>
      </c>
      <c r="U34" s="1324"/>
      <c r="V34" s="1324"/>
      <c r="W34" s="1324"/>
      <c r="X34" s="1324"/>
      <c r="Y34" s="1324" t="s">
        <v>961</v>
      </c>
      <c r="Z34" s="1324"/>
      <c r="AA34" s="1324"/>
      <c r="AB34" s="1324"/>
      <c r="AC34" s="1324"/>
      <c r="AD34" s="1324" t="s">
        <v>1212</v>
      </c>
      <c r="AE34" s="1324"/>
      <c r="AF34" s="1324"/>
      <c r="AG34" s="1324"/>
      <c r="AH34" s="1324"/>
      <c r="AI34" s="134"/>
      <c r="AJ34" s="134"/>
      <c r="AK34" s="148"/>
    </row>
    <row r="35" spans="9:37" ht="15.95" customHeight="1">
      <c r="I35" s="27"/>
      <c r="J35" s="1312"/>
      <c r="K35" s="1312"/>
      <c r="L35" s="1312"/>
      <c r="M35" s="1312"/>
      <c r="N35" s="1312"/>
      <c r="O35" s="126"/>
      <c r="P35" s="1326" t="s">
        <v>50</v>
      </c>
      <c r="Q35" s="1360"/>
      <c r="R35" s="1360"/>
      <c r="S35" s="1360"/>
      <c r="T35" s="1329">
        <f>KWHTOTALCUST_N</f>
        <v>0</v>
      </c>
      <c r="U35" s="1330"/>
      <c r="V35" s="1330"/>
      <c r="W35" s="1330"/>
      <c r="X35" s="1331"/>
      <c r="Y35" s="1332">
        <f>COSTTOTALCUST_N</f>
        <v>0</v>
      </c>
      <c r="Z35" s="1333"/>
      <c r="AA35" s="1333"/>
      <c r="AB35" s="1333"/>
      <c r="AC35" s="1334"/>
      <c r="AD35" s="1332">
        <f>INCENTOTALCUST_N</f>
        <v>0</v>
      </c>
      <c r="AE35" s="1333"/>
      <c r="AF35" s="1333"/>
      <c r="AG35" s="1333"/>
      <c r="AH35" s="1333"/>
      <c r="AI35" s="130"/>
      <c r="AJ35" s="130"/>
      <c r="AK35" s="148"/>
    </row>
    <row r="36" spans="9:37" ht="15.95" customHeight="1">
      <c r="I36" s="27"/>
      <c r="J36" s="1312"/>
      <c r="K36" s="1312"/>
      <c r="L36" s="1312"/>
      <c r="M36" s="1312"/>
      <c r="N36" s="1312"/>
      <c r="O36" s="126"/>
      <c r="P36" s="1326" t="s">
        <v>741</v>
      </c>
      <c r="Q36" s="1360"/>
      <c r="R36" s="1360"/>
      <c r="S36" s="1360"/>
      <c r="T36" s="1367">
        <f>KWHTOTALLIGHT_N</f>
        <v>0</v>
      </c>
      <c r="U36" s="1367"/>
      <c r="V36" s="1367"/>
      <c r="W36" s="1367"/>
      <c r="X36" s="1367"/>
      <c r="Y36" s="1361">
        <f>COSTTOTALLIGHT_N</f>
        <v>0</v>
      </c>
      <c r="Z36" s="1361"/>
      <c r="AA36" s="1361"/>
      <c r="AB36" s="1361"/>
      <c r="AC36" s="1361"/>
      <c r="AD36" s="1361">
        <f>INCENTOTALLIGHT_N</f>
        <v>0</v>
      </c>
      <c r="AE36" s="1361"/>
      <c r="AF36" s="1361"/>
      <c r="AG36" s="1361"/>
      <c r="AH36" s="1362"/>
      <c r="AI36" s="130"/>
      <c r="AJ36" s="130"/>
      <c r="AK36" s="148"/>
    </row>
    <row r="37" spans="9:37" ht="15.95" customHeight="1">
      <c r="I37" s="27"/>
      <c r="J37" s="1312"/>
      <c r="K37" s="1312"/>
      <c r="L37" s="1312"/>
      <c r="M37" s="1312"/>
      <c r="N37" s="1312"/>
      <c r="O37" s="126"/>
      <c r="P37" s="1326" t="s">
        <v>849</v>
      </c>
      <c r="Q37" s="1360"/>
      <c r="R37" s="1360"/>
      <c r="S37" s="1360"/>
      <c r="T37" s="1367">
        <f>KWHTOTALSTD_N</f>
        <v>0</v>
      </c>
      <c r="U37" s="1367"/>
      <c r="V37" s="1367"/>
      <c r="W37" s="1367"/>
      <c r="X37" s="1367"/>
      <c r="Y37" s="1361">
        <f>COSTTOTALSTD_N</f>
        <v>0</v>
      </c>
      <c r="Z37" s="1361"/>
      <c r="AA37" s="1361"/>
      <c r="AB37" s="1361"/>
      <c r="AC37" s="1361"/>
      <c r="AD37" s="1361">
        <f>INCENTOTALSTD_N</f>
        <v>0</v>
      </c>
      <c r="AE37" s="1361"/>
      <c r="AF37" s="1361"/>
      <c r="AG37" s="1361"/>
      <c r="AH37" s="1362"/>
      <c r="AI37" s="130"/>
      <c r="AJ37" s="130"/>
      <c r="AK37" s="148"/>
    </row>
    <row r="38" spans="9:37" ht="15.95" customHeight="1">
      <c r="I38" s="27"/>
      <c r="J38" s="1312"/>
      <c r="K38" s="1312"/>
      <c r="L38" s="1312"/>
      <c r="M38" s="1312"/>
      <c r="N38" s="1312"/>
      <c r="O38" s="126"/>
      <c r="P38" s="1326" t="s">
        <v>1717</v>
      </c>
      <c r="Q38" s="1360"/>
      <c r="R38" s="1360"/>
      <c r="S38" s="1360"/>
      <c r="T38" s="1367" t="str">
        <f>'N04-S09'!AY18</f>
        <v/>
      </c>
      <c r="U38" s="1367"/>
      <c r="V38" s="1367"/>
      <c r="W38" s="1367"/>
      <c r="X38" s="1367"/>
      <c r="Y38" s="1361">
        <f>COSTTOTALWBP_N</f>
        <v>0</v>
      </c>
      <c r="Z38" s="1361"/>
      <c r="AA38" s="1361"/>
      <c r="AB38" s="1361"/>
      <c r="AC38" s="1361"/>
      <c r="AD38" s="1361">
        <f>INCENTOTALWBP_N</f>
        <v>0</v>
      </c>
      <c r="AE38" s="1361"/>
      <c r="AF38" s="1361"/>
      <c r="AG38" s="1361"/>
      <c r="AH38" s="1362"/>
      <c r="AI38" s="130"/>
      <c r="AJ38" s="130"/>
      <c r="AK38" s="148"/>
    </row>
    <row r="39" spans="9:37" ht="15.95" customHeight="1">
      <c r="I39" s="27"/>
      <c r="J39" s="1312"/>
      <c r="K39" s="1312"/>
      <c r="L39" s="1312"/>
      <c r="M39" s="1312"/>
      <c r="N39" s="1312"/>
      <c r="O39" s="126"/>
      <c r="P39" s="1363" t="s">
        <v>21</v>
      </c>
      <c r="Q39" s="1364"/>
      <c r="R39" s="1364"/>
      <c r="S39" s="1364"/>
      <c r="T39" s="1365">
        <f>SUM(T35:X38)</f>
        <v>0</v>
      </c>
      <c r="U39" s="1365"/>
      <c r="V39" s="1365"/>
      <c r="W39" s="1365"/>
      <c r="X39" s="1365"/>
      <c r="Y39" s="1366">
        <f>COSTTOTAL_N</f>
        <v>0</v>
      </c>
      <c r="Z39" s="1366"/>
      <c r="AA39" s="1366"/>
      <c r="AB39" s="1366"/>
      <c r="AC39" s="1366"/>
      <c r="AD39" s="1366">
        <f>INCENTOTAL_N</f>
        <v>0</v>
      </c>
      <c r="AE39" s="1366"/>
      <c r="AF39" s="1366"/>
      <c r="AG39" s="1366"/>
      <c r="AH39" s="1327"/>
      <c r="AI39" s="135"/>
      <c r="AJ39" s="135"/>
      <c r="AK39" s="148"/>
    </row>
    <row r="40" spans="9:37" ht="15.95" customHeight="1">
      <c r="I40" s="27"/>
      <c r="L40" s="65"/>
      <c r="M40" s="65"/>
      <c r="N40" s="65"/>
      <c r="O40" s="65"/>
      <c r="P40" s="65"/>
      <c r="Q40" s="65"/>
      <c r="R40" s="65"/>
      <c r="S40" s="65"/>
      <c r="T40" s="65"/>
      <c r="U40" s="65"/>
      <c r="V40" s="149"/>
      <c r="W40" s="21"/>
      <c r="Z40" s="65"/>
      <c r="AA40" s="65"/>
      <c r="AB40" s="65"/>
      <c r="AC40" s="65"/>
      <c r="AD40" s="65"/>
      <c r="AE40" s="65"/>
      <c r="AF40" s="65"/>
      <c r="AG40" s="65"/>
      <c r="AH40" s="65"/>
      <c r="AI40" s="65"/>
      <c r="AJ40" s="149"/>
      <c r="AK40" s="148"/>
    </row>
    <row r="41" spans="9:37" ht="15.95" customHeight="1">
      <c r="I41" s="27"/>
      <c r="J41" s="139"/>
      <c r="K41" s="1317" t="s">
        <v>1763</v>
      </c>
      <c r="L41" s="1317"/>
      <c r="M41" s="1317"/>
      <c r="N41" s="1317"/>
      <c r="O41" s="1317"/>
      <c r="P41" s="1317"/>
      <c r="Q41" s="1317"/>
      <c r="R41" s="1317"/>
      <c r="S41" s="1317"/>
      <c r="T41" s="1317"/>
      <c r="U41" s="1317"/>
      <c r="V41" s="141"/>
      <c r="W41" s="21"/>
      <c r="X41" s="139"/>
      <c r="Y41" s="1317" t="s">
        <v>964</v>
      </c>
      <c r="Z41" s="1317"/>
      <c r="AA41" s="1317"/>
      <c r="AB41" s="1317"/>
      <c r="AC41" s="1317"/>
      <c r="AD41" s="1317"/>
      <c r="AE41" s="1317"/>
      <c r="AF41" s="1317"/>
      <c r="AG41" s="1317"/>
      <c r="AH41" s="1317"/>
      <c r="AI41" s="1317"/>
      <c r="AJ41" s="141"/>
      <c r="AK41" s="148"/>
    </row>
    <row r="42" spans="9:37" ht="15.95" customHeight="1">
      <c r="I42" s="27"/>
      <c r="J42" s="141"/>
      <c r="K42" s="1317"/>
      <c r="L42" s="1317"/>
      <c r="M42" s="1317"/>
      <c r="N42" s="1317"/>
      <c r="O42" s="1317"/>
      <c r="P42" s="1317"/>
      <c r="Q42" s="1317"/>
      <c r="R42" s="1317"/>
      <c r="S42" s="1317"/>
      <c r="T42" s="1317"/>
      <c r="U42" s="1317"/>
      <c r="V42" s="141"/>
      <c r="W42" s="21"/>
      <c r="X42" s="141"/>
      <c r="Y42" s="1317"/>
      <c r="Z42" s="1317"/>
      <c r="AA42" s="1317"/>
      <c r="AB42" s="1317"/>
      <c r="AC42" s="1317"/>
      <c r="AD42" s="1317"/>
      <c r="AE42" s="1317"/>
      <c r="AF42" s="1317"/>
      <c r="AG42" s="1317"/>
      <c r="AH42" s="1317"/>
      <c r="AI42" s="1317"/>
      <c r="AJ42" s="141"/>
      <c r="AK42" s="148"/>
    </row>
    <row r="43" spans="9:37" ht="15.95" customHeight="1">
      <c r="I43" s="27"/>
      <c r="J43" s="1322" t="s">
        <v>1762</v>
      </c>
      <c r="K43" s="1322"/>
      <c r="L43" s="1322"/>
      <c r="M43" s="1322"/>
      <c r="N43" s="1322"/>
      <c r="O43" s="1322"/>
      <c r="P43" s="1322"/>
      <c r="Q43" s="1322"/>
      <c r="R43" s="1322"/>
      <c r="S43" s="1322"/>
      <c r="T43" s="1322"/>
      <c r="U43" s="1322"/>
      <c r="V43" s="1322"/>
      <c r="X43" s="1322" t="s">
        <v>965</v>
      </c>
      <c r="Y43" s="1322"/>
      <c r="Z43" s="1322"/>
      <c r="AA43" s="1322"/>
      <c r="AB43" s="1322"/>
      <c r="AC43" s="1322"/>
      <c r="AD43" s="1322"/>
      <c r="AE43" s="1322"/>
      <c r="AF43" s="1322"/>
      <c r="AG43" s="1322"/>
      <c r="AH43" s="1322"/>
      <c r="AI43" s="1322"/>
      <c r="AJ43" s="1322"/>
      <c r="AK43" s="148"/>
    </row>
    <row r="44" spans="9:37" ht="15.95" customHeight="1">
      <c r="I44" s="27"/>
      <c r="J44" s="1322"/>
      <c r="K44" s="1322"/>
      <c r="L44" s="1322"/>
      <c r="M44" s="1322"/>
      <c r="N44" s="1322"/>
      <c r="O44" s="1322"/>
      <c r="P44" s="1322"/>
      <c r="Q44" s="1322"/>
      <c r="R44" s="1322"/>
      <c r="S44" s="1322"/>
      <c r="T44" s="1322"/>
      <c r="U44" s="1322"/>
      <c r="V44" s="1322"/>
      <c r="X44" s="1322"/>
      <c r="Y44" s="1322"/>
      <c r="Z44" s="1322"/>
      <c r="AA44" s="1322"/>
      <c r="AB44" s="1322"/>
      <c r="AC44" s="1322"/>
      <c r="AD44" s="1322"/>
      <c r="AE44" s="1322"/>
      <c r="AF44" s="1322"/>
      <c r="AG44" s="1322"/>
      <c r="AH44" s="1322"/>
      <c r="AI44" s="1322"/>
      <c r="AJ44" s="1322"/>
      <c r="AK44" s="148"/>
    </row>
    <row r="45" spans="9:37" ht="15.95" customHeight="1">
      <c r="I45" s="27"/>
      <c r="J45" s="1322"/>
      <c r="K45" s="1322"/>
      <c r="L45" s="1322"/>
      <c r="M45" s="1322"/>
      <c r="N45" s="1322"/>
      <c r="O45" s="1322"/>
      <c r="P45" s="1322"/>
      <c r="Q45" s="1322"/>
      <c r="R45" s="1322"/>
      <c r="S45" s="1322"/>
      <c r="T45" s="1322"/>
      <c r="U45" s="1322"/>
      <c r="V45" s="1322"/>
      <c r="X45" s="127" t="s">
        <v>782</v>
      </c>
      <c r="Y45" s="139"/>
      <c r="Z45" s="127"/>
      <c r="AA45" s="127"/>
      <c r="AB45" s="1357">
        <f>N05S01F01</f>
        <v>0</v>
      </c>
      <c r="AC45" s="1357"/>
      <c r="AD45" s="1357"/>
      <c r="AE45" s="1357"/>
      <c r="AF45" s="1357" t="str">
        <f>IF(ISNUMBER(SEARCH("Bill Credit",AB45)), CONCATENATE("Account ",N05S01F14), " ")</f>
        <v xml:space="preserve"> </v>
      </c>
      <c r="AG45" s="1357"/>
      <c r="AH45" s="1357"/>
      <c r="AI45" s="1357"/>
      <c r="AJ45" s="130"/>
      <c r="AK45" s="148"/>
    </row>
    <row r="46" spans="9:37" ht="15.95" customHeight="1">
      <c r="I46" s="27"/>
      <c r="J46" s="1322"/>
      <c r="K46" s="1322"/>
      <c r="L46" s="1322"/>
      <c r="M46" s="1322"/>
      <c r="N46" s="1322"/>
      <c r="O46" s="1322"/>
      <c r="P46" s="1322"/>
      <c r="Q46" s="1322"/>
      <c r="R46" s="1322"/>
      <c r="S46" s="1322"/>
      <c r="T46" s="1322"/>
      <c r="U46" s="1322"/>
      <c r="V46" s="1322"/>
      <c r="X46" s="127" t="s">
        <v>1013</v>
      </c>
      <c r="Y46" s="139"/>
      <c r="Z46" s="127"/>
      <c r="AA46" s="127"/>
      <c r="AB46" s="1357" t="str">
        <f>N05S01F02</f>
        <v/>
      </c>
      <c r="AC46" s="1357"/>
      <c r="AD46" s="1357"/>
      <c r="AE46" s="1357"/>
      <c r="AF46" s="1357"/>
      <c r="AG46" s="1357"/>
      <c r="AH46" s="130"/>
      <c r="AI46" s="130"/>
      <c r="AJ46" s="130"/>
      <c r="AK46" s="148"/>
    </row>
    <row r="47" spans="9:37" ht="15.95" customHeight="1">
      <c r="I47" s="27"/>
      <c r="J47" s="140"/>
      <c r="K47" s="375" t="s">
        <v>1759</v>
      </c>
      <c r="L47" s="376"/>
      <c r="M47" s="376"/>
      <c r="N47" s="376"/>
      <c r="O47" s="376"/>
      <c r="P47" s="376"/>
      <c r="Q47" s="376"/>
      <c r="R47" s="376"/>
      <c r="S47" s="376"/>
      <c r="T47" s="376"/>
      <c r="U47" s="376"/>
      <c r="V47" s="140"/>
      <c r="X47" s="133"/>
      <c r="Y47" s="127"/>
      <c r="Z47" s="127"/>
      <c r="AA47" s="127"/>
      <c r="AB47" s="1356" t="str">
        <f>CONCATENATE(N05S01F07," ",N05S01F08)</f>
        <v xml:space="preserve"> </v>
      </c>
      <c r="AC47" s="1356"/>
      <c r="AD47" s="1356"/>
      <c r="AE47" s="1356"/>
      <c r="AF47" s="1356"/>
      <c r="AG47" s="1356"/>
      <c r="AH47" s="130"/>
      <c r="AI47" s="130"/>
      <c r="AJ47" s="130"/>
      <c r="AK47" s="148"/>
    </row>
    <row r="48" spans="9:37" ht="15.95" customHeight="1">
      <c r="I48" s="27"/>
      <c r="J48" s="140"/>
      <c r="K48" s="375" t="s">
        <v>1761</v>
      </c>
      <c r="L48" s="376"/>
      <c r="M48" s="376"/>
      <c r="N48" s="376"/>
      <c r="O48" s="376"/>
      <c r="P48" s="376"/>
      <c r="Q48" s="376"/>
      <c r="R48" s="376"/>
      <c r="S48" s="376"/>
      <c r="T48" s="376"/>
      <c r="U48" s="376"/>
      <c r="V48" s="140"/>
      <c r="X48" s="133"/>
      <c r="Y48" s="127"/>
      <c r="Z48" s="127"/>
      <c r="AA48" s="127"/>
      <c r="AB48" s="1357" t="str">
        <f>N05S01F03</f>
        <v/>
      </c>
      <c r="AC48" s="1357"/>
      <c r="AD48" s="1357"/>
      <c r="AE48" s="1357"/>
      <c r="AF48" s="1357"/>
      <c r="AG48" s="1357"/>
      <c r="AH48" s="130"/>
      <c r="AI48" s="130"/>
      <c r="AJ48" s="130"/>
      <c r="AK48" s="148"/>
    </row>
    <row r="49" spans="9:37" ht="15.95" customHeight="1">
      <c r="I49" s="27"/>
      <c r="J49" s="147"/>
      <c r="K49" s="375" t="s">
        <v>1760</v>
      </c>
      <c r="L49" s="376"/>
      <c r="M49" s="376"/>
      <c r="N49" s="376"/>
      <c r="O49" s="376"/>
      <c r="P49" s="376"/>
      <c r="Q49" s="376"/>
      <c r="R49" s="376"/>
      <c r="S49" s="376"/>
      <c r="T49" s="376"/>
      <c r="U49" s="376"/>
      <c r="V49" s="147"/>
      <c r="X49" s="151"/>
      <c r="Y49" s="127"/>
      <c r="Z49" s="127"/>
      <c r="AA49" s="127"/>
      <c r="AB49" s="1356" t="str">
        <f>CONCATENATE(N05S01F04,", ",N05S01F05," ",N05S01F06)</f>
        <v xml:space="preserve">,  </v>
      </c>
      <c r="AC49" s="1356"/>
      <c r="AD49" s="1356"/>
      <c r="AE49" s="1356"/>
      <c r="AF49" s="1356"/>
      <c r="AG49" s="1356"/>
      <c r="AH49" s="130"/>
      <c r="AI49" s="130"/>
      <c r="AJ49" s="152"/>
      <c r="AK49" s="148"/>
    </row>
    <row r="50" spans="9:37" ht="15.95" customHeight="1">
      <c r="I50" s="27"/>
      <c r="J50" s="147"/>
      <c r="K50" s="1359" t="s">
        <v>1758</v>
      </c>
      <c r="L50" s="1359"/>
      <c r="M50" s="1359"/>
      <c r="N50" s="1359"/>
      <c r="O50" s="1359"/>
      <c r="P50" s="1359"/>
      <c r="Q50" s="1359"/>
      <c r="R50" s="1359"/>
      <c r="S50" s="1359"/>
      <c r="T50" s="1359"/>
      <c r="U50" s="1359"/>
      <c r="V50" s="147"/>
      <c r="X50" s="127" t="s">
        <v>1014</v>
      </c>
      <c r="Y50" s="139"/>
      <c r="Z50" s="127"/>
      <c r="AA50" s="127"/>
      <c r="AB50" s="1357">
        <f>N05S01F12</f>
        <v>0</v>
      </c>
      <c r="AC50" s="1357"/>
      <c r="AD50" s="1357"/>
      <c r="AE50" s="1357"/>
      <c r="AF50" s="1357"/>
      <c r="AG50" s="1357"/>
      <c r="AH50" s="1357" t="str">
        <f>IF(ISBLANK(N05S01F13),"",CONCATENATE(N05S01F13,"-",N05S01F14))</f>
        <v/>
      </c>
      <c r="AI50" s="1357"/>
      <c r="AJ50" s="1357"/>
      <c r="AK50" s="148"/>
    </row>
    <row r="51" spans="9:37" ht="15.95" customHeight="1">
      <c r="I51" s="27"/>
      <c r="J51" s="147"/>
      <c r="K51" s="150"/>
      <c r="L51" s="122"/>
      <c r="M51" s="374"/>
      <c r="N51" s="374"/>
      <c r="O51" s="374"/>
      <c r="P51" s="374"/>
      <c r="Q51" s="374"/>
      <c r="R51" s="374"/>
      <c r="S51" s="374"/>
      <c r="T51" s="374"/>
      <c r="U51" s="374"/>
      <c r="V51" s="147"/>
      <c r="X51" s="127"/>
      <c r="Y51" s="139"/>
      <c r="Z51" s="127"/>
      <c r="AA51" s="127"/>
      <c r="AB51" s="353"/>
      <c r="AC51" s="353"/>
      <c r="AD51" s="353"/>
      <c r="AE51" s="353"/>
      <c r="AF51" s="353"/>
      <c r="AG51" s="353"/>
      <c r="AH51" s="353"/>
      <c r="AI51" s="353"/>
      <c r="AJ51" s="353"/>
      <c r="AK51" s="148"/>
    </row>
    <row r="52" spans="9:37" ht="15.95" customHeight="1">
      <c r="I52" s="27"/>
      <c r="J52" s="147"/>
      <c r="K52" s="150"/>
      <c r="L52" s="374"/>
      <c r="M52" s="374"/>
      <c r="N52" s="374"/>
      <c r="O52" s="374"/>
      <c r="P52" s="374"/>
      <c r="Q52" s="374"/>
      <c r="R52" s="374"/>
      <c r="S52" s="374"/>
      <c r="T52" s="374"/>
      <c r="U52" s="374"/>
      <c r="V52" s="147"/>
      <c r="X52" s="127"/>
      <c r="Y52" s="139"/>
      <c r="Z52" s="127"/>
      <c r="AA52" s="127"/>
      <c r="AB52" s="353"/>
      <c r="AC52" s="353"/>
      <c r="AD52" s="353"/>
      <c r="AE52" s="353"/>
      <c r="AF52" s="353"/>
      <c r="AG52" s="353"/>
      <c r="AH52" s="353"/>
      <c r="AI52" s="353"/>
      <c r="AJ52" s="353"/>
      <c r="AK52" s="148"/>
    </row>
    <row r="53" spans="9:37" ht="15.95" customHeight="1">
      <c r="I53" s="27"/>
      <c r="J53" s="147"/>
      <c r="K53" s="150"/>
      <c r="L53" s="354"/>
      <c r="M53" s="354"/>
      <c r="N53" s="354"/>
      <c r="O53" s="354"/>
      <c r="P53" s="354"/>
      <c r="Q53" s="354"/>
      <c r="R53" s="354"/>
      <c r="S53" s="354"/>
      <c r="T53" s="354"/>
      <c r="U53" s="354"/>
      <c r="V53" s="147"/>
      <c r="X53" s="127"/>
      <c r="Y53" s="139"/>
      <c r="Z53" s="127"/>
      <c r="AA53" s="127"/>
      <c r="AB53" s="353"/>
      <c r="AC53" s="353"/>
      <c r="AD53" s="353"/>
      <c r="AE53" s="353"/>
      <c r="AF53" s="353"/>
      <c r="AG53" s="353"/>
      <c r="AH53" s="353"/>
      <c r="AI53" s="353"/>
      <c r="AJ53" s="353"/>
      <c r="AK53" s="148"/>
    </row>
    <row r="54" spans="9:37" ht="15.95" customHeight="1">
      <c r="I54" s="27"/>
      <c r="L54" s="65"/>
      <c r="M54" s="65"/>
      <c r="N54" s="65"/>
      <c r="O54" s="65"/>
      <c r="P54" s="65"/>
      <c r="Q54" s="65"/>
      <c r="R54" s="65"/>
      <c r="S54" s="65"/>
      <c r="T54" s="65"/>
      <c r="U54" s="65"/>
      <c r="V54" s="153"/>
      <c r="Z54" s="154"/>
      <c r="AA54" s="154"/>
      <c r="AB54" s="154"/>
      <c r="AC54" s="154"/>
      <c r="AD54" s="154"/>
      <c r="AE54" s="154"/>
      <c r="AF54" s="154"/>
      <c r="AG54" s="154"/>
      <c r="AH54" s="154"/>
      <c r="AI54" s="154"/>
      <c r="AK54" s="148"/>
    </row>
    <row r="55" spans="9:37" ht="15.95" customHeight="1">
      <c r="I55" s="27"/>
      <c r="J55" s="139"/>
      <c r="K55" s="1317" t="s">
        <v>966</v>
      </c>
      <c r="L55" s="1317"/>
      <c r="M55" s="1317"/>
      <c r="N55" s="1317"/>
      <c r="O55" s="1317"/>
      <c r="P55" s="1317"/>
      <c r="Q55" s="1317"/>
      <c r="R55" s="1317"/>
      <c r="S55" s="1317"/>
      <c r="T55" s="1317"/>
      <c r="U55" s="1317"/>
      <c r="V55" s="140"/>
      <c r="X55" s="139"/>
      <c r="Y55" s="1358" t="s">
        <v>967</v>
      </c>
      <c r="Z55" s="1358"/>
      <c r="AA55" s="1358"/>
      <c r="AB55" s="1358"/>
      <c r="AC55" s="1358"/>
      <c r="AD55" s="1358"/>
      <c r="AE55" s="1358"/>
      <c r="AF55" s="1358"/>
      <c r="AG55" s="1358"/>
      <c r="AH55" s="1358"/>
      <c r="AI55" s="1358"/>
      <c r="AJ55" s="139"/>
      <c r="AK55" s="148"/>
    </row>
    <row r="56" spans="9:37" ht="15.95" customHeight="1">
      <c r="I56" s="27"/>
      <c r="J56" s="141"/>
      <c r="K56" s="1317"/>
      <c r="L56" s="1317"/>
      <c r="M56" s="1317"/>
      <c r="N56" s="1317"/>
      <c r="O56" s="1317"/>
      <c r="P56" s="1317"/>
      <c r="Q56" s="1317"/>
      <c r="R56" s="1317"/>
      <c r="S56" s="1317"/>
      <c r="T56" s="1317"/>
      <c r="U56" s="1317"/>
      <c r="V56" s="141"/>
      <c r="X56" s="139"/>
      <c r="Y56" s="1358"/>
      <c r="Z56" s="1358"/>
      <c r="AA56" s="1358"/>
      <c r="AB56" s="1358"/>
      <c r="AC56" s="1358"/>
      <c r="AD56" s="1358"/>
      <c r="AE56" s="1358"/>
      <c r="AF56" s="1358"/>
      <c r="AG56" s="1358"/>
      <c r="AH56" s="1358"/>
      <c r="AI56" s="1358"/>
      <c r="AJ56" s="139"/>
      <c r="AK56" s="148"/>
    </row>
    <row r="57" spans="9:37" ht="15.95" customHeight="1">
      <c r="I57" s="27"/>
      <c r="J57" s="1322" t="s">
        <v>957</v>
      </c>
      <c r="K57" s="1322"/>
      <c r="L57" s="1322"/>
      <c r="M57" s="1322"/>
      <c r="N57" s="1322"/>
      <c r="O57" s="1322"/>
      <c r="P57" s="1322"/>
      <c r="Q57" s="1322"/>
      <c r="R57" s="1322"/>
      <c r="S57" s="1322"/>
      <c r="T57" s="1322"/>
      <c r="U57" s="1322"/>
      <c r="V57" s="1322"/>
      <c r="X57" s="1322" t="s">
        <v>1285</v>
      </c>
      <c r="Y57" s="1322"/>
      <c r="Z57" s="1322"/>
      <c r="AA57" s="1322"/>
      <c r="AB57" s="1322"/>
      <c r="AC57" s="1322"/>
      <c r="AD57" s="1322"/>
      <c r="AE57" s="1322"/>
      <c r="AF57" s="1322"/>
      <c r="AG57" s="1322"/>
      <c r="AH57" s="1322"/>
      <c r="AI57" s="1322"/>
      <c r="AJ57" s="1322"/>
      <c r="AK57" s="148"/>
    </row>
    <row r="58" spans="9:37" ht="15.95" customHeight="1">
      <c r="I58" s="27"/>
      <c r="J58" s="1322"/>
      <c r="K58" s="1322"/>
      <c r="L58" s="1322"/>
      <c r="M58" s="1322"/>
      <c r="N58" s="1322"/>
      <c r="O58" s="1322"/>
      <c r="P58" s="1322"/>
      <c r="Q58" s="1322"/>
      <c r="R58" s="1322"/>
      <c r="S58" s="1322"/>
      <c r="T58" s="1322"/>
      <c r="U58" s="1322"/>
      <c r="V58" s="1322"/>
      <c r="X58" s="1322"/>
      <c r="Y58" s="1322"/>
      <c r="Z58" s="1322"/>
      <c r="AA58" s="1322"/>
      <c r="AB58" s="1322"/>
      <c r="AC58" s="1322"/>
      <c r="AD58" s="1322"/>
      <c r="AE58" s="1322"/>
      <c r="AF58" s="1322"/>
      <c r="AG58" s="1322"/>
      <c r="AH58" s="1322"/>
      <c r="AI58" s="1322"/>
      <c r="AJ58" s="1322"/>
      <c r="AK58" s="148"/>
    </row>
    <row r="59" spans="9:37" ht="15.95" customHeight="1">
      <c r="I59" s="27"/>
      <c r="J59" s="1322"/>
      <c r="K59" s="1322"/>
      <c r="L59" s="1322"/>
      <c r="M59" s="1322"/>
      <c r="N59" s="1322"/>
      <c r="O59" s="1322"/>
      <c r="P59" s="1322"/>
      <c r="Q59" s="1322"/>
      <c r="R59" s="1322"/>
      <c r="S59" s="1322"/>
      <c r="T59" s="1322"/>
      <c r="U59" s="1322"/>
      <c r="V59" s="1322"/>
      <c r="W59" s="154"/>
      <c r="X59" s="140"/>
      <c r="Y59" s="140"/>
      <c r="Z59" s="140"/>
      <c r="AA59" s="140"/>
      <c r="AB59" s="140"/>
      <c r="AC59" s="140"/>
      <c r="AD59" s="140"/>
      <c r="AE59" s="140"/>
      <c r="AF59" s="140"/>
      <c r="AG59" s="140"/>
      <c r="AH59" s="140"/>
      <c r="AI59" s="140"/>
      <c r="AJ59" s="140"/>
      <c r="AK59" s="148"/>
    </row>
    <row r="60" spans="9:37" ht="15.95" customHeight="1">
      <c r="I60" s="27"/>
      <c r="J60" s="139"/>
      <c r="K60" s="139"/>
      <c r="L60" s="139"/>
      <c r="M60" s="139"/>
      <c r="N60" s="139"/>
      <c r="O60" s="139"/>
      <c r="P60" s="139"/>
      <c r="Q60" s="139"/>
      <c r="R60" s="139"/>
      <c r="S60" s="139"/>
      <c r="T60" s="139"/>
      <c r="U60" s="139"/>
      <c r="V60" s="139"/>
      <c r="W60" s="154"/>
      <c r="X60" s="258" t="s">
        <v>1286</v>
      </c>
      <c r="Y60" s="155" t="s">
        <v>1289</v>
      </c>
      <c r="Z60" s="256"/>
      <c r="AA60" s="256"/>
      <c r="AB60" s="256"/>
      <c r="AC60" s="256"/>
      <c r="AD60" s="256"/>
      <c r="AE60" s="256"/>
      <c r="AF60" s="256"/>
      <c r="AG60" s="256"/>
      <c r="AH60" s="256"/>
      <c r="AI60" s="256"/>
      <c r="AJ60" s="139"/>
      <c r="AK60" s="148"/>
    </row>
    <row r="61" spans="9:37" ht="15.95" customHeight="1">
      <c r="I61" s="27"/>
      <c r="J61" s="139"/>
      <c r="K61" s="139"/>
      <c r="L61" s="139"/>
      <c r="M61" s="139"/>
      <c r="N61" s="139"/>
      <c r="O61" s="139"/>
      <c r="P61" s="139"/>
      <c r="Q61" s="139"/>
      <c r="R61" s="139"/>
      <c r="S61" s="139"/>
      <c r="T61" s="139"/>
      <c r="U61" s="139"/>
      <c r="V61" s="139"/>
      <c r="X61" s="259" t="s">
        <v>1287</v>
      </c>
      <c r="Y61" s="257" t="s">
        <v>1288</v>
      </c>
      <c r="Z61" s="256"/>
      <c r="AA61" s="256"/>
      <c r="AB61" s="256"/>
      <c r="AC61" s="256"/>
      <c r="AD61" s="256"/>
      <c r="AE61" s="256"/>
      <c r="AF61" s="256"/>
      <c r="AG61" s="256"/>
      <c r="AH61" s="256"/>
      <c r="AI61" s="256"/>
      <c r="AJ61" s="139"/>
      <c r="AK61" s="148"/>
    </row>
    <row r="62" spans="9:37" ht="15.95" customHeight="1">
      <c r="I62" s="27"/>
      <c r="J62" s="139"/>
      <c r="K62" s="139"/>
      <c r="L62" s="139"/>
      <c r="M62" s="139"/>
      <c r="N62" s="139"/>
      <c r="O62" s="139"/>
      <c r="P62" s="139"/>
      <c r="Q62" s="139"/>
      <c r="R62" s="139"/>
      <c r="S62" s="139"/>
      <c r="T62" s="139"/>
      <c r="U62" s="139"/>
      <c r="V62" s="139"/>
      <c r="X62" s="139"/>
      <c r="Y62" s="139"/>
      <c r="Z62" s="256"/>
      <c r="AA62" s="256"/>
      <c r="AB62" s="256"/>
      <c r="AC62" s="256"/>
      <c r="AD62" s="256"/>
      <c r="AE62" s="256"/>
      <c r="AF62" s="256"/>
      <c r="AG62" s="256"/>
      <c r="AH62" s="256"/>
      <c r="AI62" s="256"/>
      <c r="AJ62" s="139"/>
      <c r="AK62" s="148"/>
    </row>
    <row r="63" spans="9:37" ht="15.95" customHeight="1">
      <c r="I63" s="27"/>
      <c r="J63" s="139"/>
      <c r="K63" s="1304" t="s">
        <v>958</v>
      </c>
      <c r="L63" s="1304"/>
      <c r="M63" s="1304"/>
      <c r="N63" s="1304"/>
      <c r="O63" s="1304"/>
      <c r="P63" s="1304"/>
      <c r="Q63" s="1304"/>
      <c r="R63" s="139"/>
      <c r="S63" s="1306" t="s">
        <v>954</v>
      </c>
      <c r="T63" s="1306"/>
      <c r="U63" s="1306"/>
      <c r="V63" s="139"/>
      <c r="X63" s="139"/>
      <c r="Y63" s="155"/>
      <c r="Z63" s="256"/>
      <c r="AA63" s="1263" t="s">
        <v>1256</v>
      </c>
      <c r="AB63" s="1263"/>
      <c r="AC63" s="1263"/>
      <c r="AD63" s="1263"/>
      <c r="AE63" s="1263"/>
      <c r="AF63" s="1263"/>
      <c r="AG63" s="256"/>
      <c r="AH63" s="256"/>
      <c r="AI63" s="256"/>
      <c r="AJ63" s="139"/>
      <c r="AK63" s="148"/>
    </row>
    <row r="64" spans="9:37" ht="15.95" customHeight="1">
      <c r="I64" s="27"/>
      <c r="J64" s="139"/>
      <c r="K64" s="139"/>
      <c r="L64" s="139"/>
      <c r="M64" s="139"/>
      <c r="N64" s="139"/>
      <c r="O64" s="139"/>
      <c r="P64" s="139"/>
      <c r="Q64" s="139"/>
      <c r="R64" s="139"/>
      <c r="S64" s="139"/>
      <c r="T64" s="139"/>
      <c r="U64" s="139"/>
      <c r="V64" s="139"/>
      <c r="X64" s="139"/>
      <c r="Y64" s="156"/>
      <c r="Z64" s="256"/>
      <c r="AA64" s="1263"/>
      <c r="AB64" s="1263"/>
      <c r="AC64" s="1263"/>
      <c r="AD64" s="1263"/>
      <c r="AE64" s="1263"/>
      <c r="AF64" s="1263"/>
      <c r="AG64" s="256"/>
      <c r="AH64" s="256"/>
      <c r="AI64" s="256"/>
      <c r="AJ64" s="139"/>
      <c r="AK64" s="148"/>
    </row>
    <row r="65" spans="9:37" ht="15.95" customHeight="1">
      <c r="I65" s="27"/>
      <c r="J65" s="139"/>
      <c r="K65" s="139"/>
      <c r="L65" s="139"/>
      <c r="M65" s="139"/>
      <c r="N65" s="139"/>
      <c r="O65" s="139"/>
      <c r="P65" s="139"/>
      <c r="Q65" s="139"/>
      <c r="R65" s="139"/>
      <c r="S65" s="139"/>
      <c r="T65" s="139"/>
      <c r="U65" s="139"/>
      <c r="V65" s="139"/>
      <c r="X65" s="139"/>
      <c r="Y65" s="156"/>
      <c r="Z65" s="256"/>
      <c r="AA65" s="1263"/>
      <c r="AB65" s="1263"/>
      <c r="AC65" s="1263"/>
      <c r="AD65" s="1263"/>
      <c r="AE65" s="1263"/>
      <c r="AF65" s="1263"/>
      <c r="AG65" s="256"/>
      <c r="AH65" s="256"/>
      <c r="AI65" s="256"/>
      <c r="AJ65" s="139"/>
      <c r="AK65" s="148"/>
    </row>
    <row r="66" spans="9:37" ht="15.95" customHeight="1">
      <c r="I66" s="27"/>
      <c r="J66" s="139"/>
      <c r="K66" s="139"/>
      <c r="L66" s="139"/>
      <c r="M66" s="139"/>
      <c r="N66" s="139"/>
      <c r="O66" s="139"/>
      <c r="P66" s="139"/>
      <c r="Q66" s="139"/>
      <c r="R66" s="139"/>
      <c r="S66" s="139"/>
      <c r="T66" s="139"/>
      <c r="U66" s="139"/>
      <c r="V66" s="139"/>
      <c r="W66" s="143"/>
      <c r="X66" s="139"/>
      <c r="Y66" s="139"/>
      <c r="Z66" s="139"/>
      <c r="AA66" s="139"/>
      <c r="AB66" s="139"/>
      <c r="AC66" s="139"/>
      <c r="AD66" s="139"/>
      <c r="AE66" s="139"/>
      <c r="AF66" s="139"/>
      <c r="AG66" s="139"/>
      <c r="AH66" s="139"/>
      <c r="AI66" s="139"/>
      <c r="AJ66" s="139"/>
      <c r="AK66" s="148"/>
    </row>
    <row r="67" spans="9:37" ht="15.95" customHeight="1">
      <c r="I67" s="27"/>
      <c r="J67" s="1309" t="s">
        <v>2325</v>
      </c>
      <c r="K67" s="1309"/>
      <c r="L67" s="1309"/>
      <c r="M67" s="1309"/>
      <c r="N67" s="1309"/>
      <c r="O67" s="1309"/>
      <c r="P67" s="1309"/>
      <c r="Q67" s="1309"/>
      <c r="R67" s="1309"/>
      <c r="S67" s="1309"/>
      <c r="T67" s="1309"/>
      <c r="U67" s="1309"/>
      <c r="V67" s="1309"/>
      <c r="W67" s="1309"/>
      <c r="X67" s="1309"/>
      <c r="Y67" s="1309"/>
      <c r="Z67" s="1309"/>
      <c r="AA67" s="1309"/>
      <c r="AB67" s="1309"/>
      <c r="AC67" s="1309"/>
      <c r="AD67" s="1309"/>
      <c r="AE67" s="1309"/>
      <c r="AF67" s="1309"/>
      <c r="AG67" s="1309"/>
      <c r="AH67" s="1309"/>
      <c r="AI67" s="1309"/>
      <c r="AJ67" s="1309"/>
      <c r="AK67" s="148"/>
    </row>
    <row r="68" spans="9:37" ht="15.95" customHeight="1">
      <c r="I68" s="27"/>
      <c r="J68" s="1309"/>
      <c r="K68" s="1309"/>
      <c r="L68" s="1309"/>
      <c r="M68" s="1309"/>
      <c r="N68" s="1309"/>
      <c r="O68" s="1309"/>
      <c r="P68" s="1309"/>
      <c r="Q68" s="1309"/>
      <c r="R68" s="1309"/>
      <c r="S68" s="1309"/>
      <c r="T68" s="1309"/>
      <c r="U68" s="1309"/>
      <c r="V68" s="1309"/>
      <c r="W68" s="1309"/>
      <c r="X68" s="1309"/>
      <c r="Y68" s="1309"/>
      <c r="Z68" s="1309"/>
      <c r="AA68" s="1309"/>
      <c r="AB68" s="1309"/>
      <c r="AC68" s="1309"/>
      <c r="AD68" s="1309"/>
      <c r="AE68" s="1309"/>
      <c r="AF68" s="1309"/>
      <c r="AG68" s="1309"/>
      <c r="AH68" s="1309"/>
      <c r="AI68" s="1309"/>
      <c r="AJ68" s="1309"/>
      <c r="AK68" s="148"/>
    </row>
    <row r="69" spans="9:37" ht="15.95" customHeight="1">
      <c r="I69" s="27"/>
      <c r="J69" s="1309"/>
      <c r="K69" s="1309"/>
      <c r="L69" s="1309"/>
      <c r="M69" s="1309"/>
      <c r="N69" s="1309"/>
      <c r="O69" s="1309"/>
      <c r="P69" s="1309"/>
      <c r="Q69" s="1309"/>
      <c r="R69" s="1309"/>
      <c r="S69" s="1309"/>
      <c r="T69" s="1309"/>
      <c r="U69" s="1309"/>
      <c r="V69" s="1309"/>
      <c r="W69" s="1309"/>
      <c r="X69" s="1309"/>
      <c r="Y69" s="1309"/>
      <c r="Z69" s="1309"/>
      <c r="AA69" s="1309"/>
      <c r="AB69" s="1309"/>
      <c r="AC69" s="1309"/>
      <c r="AD69" s="1309"/>
      <c r="AE69" s="1309"/>
      <c r="AF69" s="1309"/>
      <c r="AG69" s="1309"/>
      <c r="AH69" s="1309"/>
      <c r="AI69" s="1309"/>
      <c r="AJ69" s="1309"/>
      <c r="AK69" s="148"/>
    </row>
    <row r="70" spans="9:37" ht="15.95" customHeight="1">
      <c r="I70" s="27"/>
      <c r="J70" s="1309"/>
      <c r="K70" s="1309"/>
      <c r="L70" s="1309"/>
      <c r="M70" s="1309"/>
      <c r="N70" s="1309"/>
      <c r="O70" s="1309"/>
      <c r="P70" s="1309"/>
      <c r="Q70" s="1309"/>
      <c r="R70" s="1309"/>
      <c r="S70" s="1309"/>
      <c r="T70" s="1309"/>
      <c r="U70" s="1309"/>
      <c r="V70" s="1309"/>
      <c r="W70" s="1309"/>
      <c r="X70" s="1309"/>
      <c r="Y70" s="1309"/>
      <c r="Z70" s="1309"/>
      <c r="AA70" s="1309"/>
      <c r="AB70" s="1309"/>
      <c r="AC70" s="1309"/>
      <c r="AD70" s="1309"/>
      <c r="AE70" s="1309"/>
      <c r="AF70" s="1309"/>
      <c r="AG70" s="1309"/>
      <c r="AH70" s="1309"/>
      <c r="AI70" s="1309"/>
      <c r="AJ70" s="1309"/>
      <c r="AK70" s="148"/>
    </row>
    <row r="71" spans="9:37" ht="15.95" customHeight="1">
      <c r="I71" s="27"/>
      <c r="J71" s="1309"/>
      <c r="K71" s="1309"/>
      <c r="L71" s="1309"/>
      <c r="M71" s="1309"/>
      <c r="N71" s="1309"/>
      <c r="O71" s="1309"/>
      <c r="P71" s="1309"/>
      <c r="Q71" s="1309"/>
      <c r="R71" s="1309"/>
      <c r="S71" s="1309"/>
      <c r="T71" s="1309"/>
      <c r="U71" s="1309"/>
      <c r="V71" s="1309"/>
      <c r="W71" s="1309"/>
      <c r="X71" s="1309"/>
      <c r="Y71" s="1309"/>
      <c r="Z71" s="1309"/>
      <c r="AA71" s="1309"/>
      <c r="AB71" s="1309"/>
      <c r="AC71" s="1309"/>
      <c r="AD71" s="1309"/>
      <c r="AE71" s="1309"/>
      <c r="AF71" s="1309"/>
      <c r="AG71" s="1309"/>
      <c r="AH71" s="1309"/>
      <c r="AI71" s="1309"/>
      <c r="AJ71" s="1309"/>
      <c r="AK71" s="148"/>
    </row>
    <row r="72" spans="9:37" ht="15.95" customHeight="1">
      <c r="I72" s="27"/>
      <c r="J72" s="1309"/>
      <c r="K72" s="1309"/>
      <c r="L72" s="1309"/>
      <c r="M72" s="1309"/>
      <c r="N72" s="1309"/>
      <c r="O72" s="1309"/>
      <c r="P72" s="1309"/>
      <c r="Q72" s="1309"/>
      <c r="R72" s="1309"/>
      <c r="S72" s="1309"/>
      <c r="T72" s="1309"/>
      <c r="U72" s="1309"/>
      <c r="V72" s="1309"/>
      <c r="W72" s="1309"/>
      <c r="X72" s="1309"/>
      <c r="Y72" s="1309"/>
      <c r="Z72" s="1309"/>
      <c r="AA72" s="1309"/>
      <c r="AB72" s="1309"/>
      <c r="AC72" s="1309"/>
      <c r="AD72" s="1309"/>
      <c r="AE72" s="1309"/>
      <c r="AF72" s="1309"/>
      <c r="AG72" s="1309"/>
      <c r="AH72" s="1309"/>
      <c r="AI72" s="1309"/>
      <c r="AJ72" s="1309"/>
      <c r="AK72" s="148"/>
    </row>
    <row r="73" spans="9:37" ht="15.95" customHeight="1">
      <c r="I73" s="27"/>
      <c r="J73" s="1309"/>
      <c r="K73" s="1309"/>
      <c r="L73" s="1309"/>
      <c r="M73" s="1309"/>
      <c r="N73" s="1309"/>
      <c r="O73" s="1309"/>
      <c r="P73" s="1309"/>
      <c r="Q73" s="1309"/>
      <c r="R73" s="1309"/>
      <c r="S73" s="1309"/>
      <c r="T73" s="1309"/>
      <c r="U73" s="1309"/>
      <c r="V73" s="1309"/>
      <c r="W73" s="1309"/>
      <c r="X73" s="1309"/>
      <c r="Y73" s="1309"/>
      <c r="Z73" s="1309"/>
      <c r="AA73" s="1309"/>
      <c r="AB73" s="1309"/>
      <c r="AC73" s="1309"/>
      <c r="AD73" s="1309"/>
      <c r="AE73" s="1309"/>
      <c r="AF73" s="1309"/>
      <c r="AG73" s="1309"/>
      <c r="AH73" s="1309"/>
      <c r="AI73" s="1309"/>
      <c r="AJ73" s="1309"/>
      <c r="AK73" s="148"/>
    </row>
    <row r="74" spans="9:37" ht="15.95" customHeight="1">
      <c r="I74" s="27"/>
      <c r="J74" s="1309"/>
      <c r="K74" s="1309"/>
      <c r="L74" s="1309"/>
      <c r="M74" s="1309"/>
      <c r="N74" s="1309"/>
      <c r="O74" s="1309"/>
      <c r="P74" s="1309"/>
      <c r="Q74" s="1309"/>
      <c r="R74" s="1309"/>
      <c r="S74" s="1309"/>
      <c r="T74" s="1309"/>
      <c r="U74" s="1309"/>
      <c r="V74" s="1309"/>
      <c r="W74" s="1309"/>
      <c r="X74" s="1309"/>
      <c r="Y74" s="1309"/>
      <c r="Z74" s="1309"/>
      <c r="AA74" s="1309"/>
      <c r="AB74" s="1309"/>
      <c r="AC74" s="1309"/>
      <c r="AD74" s="1309"/>
      <c r="AE74" s="1309"/>
      <c r="AF74" s="1309"/>
      <c r="AG74" s="1309"/>
      <c r="AH74" s="1309"/>
      <c r="AI74" s="1309"/>
      <c r="AJ74" s="1309"/>
      <c r="AK74" s="148"/>
    </row>
    <row r="75" spans="9:37" ht="15.95" customHeight="1">
      <c r="I75" s="27"/>
      <c r="J75" s="1309"/>
      <c r="K75" s="1309"/>
      <c r="L75" s="1309"/>
      <c r="M75" s="1309"/>
      <c r="N75" s="1309"/>
      <c r="O75" s="1309"/>
      <c r="P75" s="1309"/>
      <c r="Q75" s="1309"/>
      <c r="R75" s="1309"/>
      <c r="S75" s="1309"/>
      <c r="T75" s="1309"/>
      <c r="U75" s="1309"/>
      <c r="V75" s="1309"/>
      <c r="W75" s="1309"/>
      <c r="X75" s="1309"/>
      <c r="Y75" s="1309"/>
      <c r="Z75" s="1309"/>
      <c r="AA75" s="1309"/>
      <c r="AB75" s="1309"/>
      <c r="AC75" s="1309"/>
      <c r="AD75" s="1309"/>
      <c r="AE75" s="1309"/>
      <c r="AF75" s="1309"/>
      <c r="AG75" s="1309"/>
      <c r="AH75" s="1309"/>
      <c r="AI75" s="1309"/>
      <c r="AJ75" s="1309"/>
      <c r="AK75" s="148"/>
    </row>
    <row r="76" spans="9:37" ht="15.95" customHeight="1">
      <c r="I76" s="27"/>
      <c r="J76" s="1310" t="str">
        <f>"Evergy Business Energy Savings Program • " &amp; Hotline &amp; " • businessrebates@evergy.com"</f>
        <v>Evergy Business Energy Savings Program • (844)687-0229 • businessrebates@evergy.com</v>
      </c>
      <c r="K76" s="1310"/>
      <c r="L76" s="1310"/>
      <c r="M76" s="1310"/>
      <c r="N76" s="1310"/>
      <c r="O76" s="1310"/>
      <c r="P76" s="1310"/>
      <c r="Q76" s="1310"/>
      <c r="R76" s="1310"/>
      <c r="S76" s="1310"/>
      <c r="T76" s="1310"/>
      <c r="U76" s="1310"/>
      <c r="V76" s="1310"/>
      <c r="W76" s="1310"/>
      <c r="X76" s="1310"/>
      <c r="Y76" s="1310"/>
      <c r="Z76" s="1310"/>
      <c r="AA76" s="1310"/>
      <c r="AB76" s="1310"/>
      <c r="AC76" s="1310"/>
      <c r="AD76" s="1310"/>
      <c r="AE76" s="1310"/>
      <c r="AF76" s="1310"/>
      <c r="AG76" s="1310"/>
      <c r="AH76" s="1310"/>
      <c r="AI76" s="1310"/>
      <c r="AJ76" s="1310"/>
      <c r="AK76" s="148"/>
    </row>
    <row r="77" spans="9:37" ht="15.95" customHeight="1">
      <c r="I77" s="27"/>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48"/>
    </row>
    <row r="78" spans="9:37" ht="15.95" customHeight="1">
      <c r="I78" s="28"/>
      <c r="J78" s="157"/>
      <c r="K78" s="158"/>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9"/>
    </row>
    <row r="79" spans="9:37" ht="15.95"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bWb1h0krnmTH+5ijdO3cnpuBTBCCbPWc4D5pn12QXy82QApYuJ0GmYNSLN3mZSGMFqX21S4nkvaby7QrJMFYZw==" saltValue="54FCXyOGeXn/ZeVGN4lbyw==" spinCount="100000" sheet="1" objects="1" scenarios="1" selectLockedCells="1"/>
  <mergeCells count="88">
    <mergeCell ref="AT1:AW3"/>
    <mergeCell ref="F1:I3"/>
    <mergeCell ref="J1:M3"/>
    <mergeCell ref="O1:AE3"/>
    <mergeCell ref="AL1:AO3"/>
    <mergeCell ref="AP1:AS3"/>
    <mergeCell ref="A5:E6"/>
    <mergeCell ref="AQ5:AU6"/>
    <mergeCell ref="A7:E7"/>
    <mergeCell ref="AQ7:AU7"/>
    <mergeCell ref="AD37:AH37"/>
    <mergeCell ref="AD24:AI24"/>
    <mergeCell ref="P25:U25"/>
    <mergeCell ref="W25:AB25"/>
    <mergeCell ref="AD25:AI25"/>
    <mergeCell ref="A8:E8"/>
    <mergeCell ref="F11:AP12"/>
    <mergeCell ref="J18:W20"/>
    <mergeCell ref="AC18:AJ20"/>
    <mergeCell ref="J21:W22"/>
    <mergeCell ref="X21:AJ22"/>
    <mergeCell ref="A9:AW10"/>
    <mergeCell ref="AQ8:AU8"/>
    <mergeCell ref="AD26:AI26"/>
    <mergeCell ref="J29:N32"/>
    <mergeCell ref="P29:U29"/>
    <mergeCell ref="W29:AB29"/>
    <mergeCell ref="P30:U30"/>
    <mergeCell ref="W30:AB30"/>
    <mergeCell ref="P31:U31"/>
    <mergeCell ref="W31:AB31"/>
    <mergeCell ref="P32:U32"/>
    <mergeCell ref="W32:AB32"/>
    <mergeCell ref="P27:U27"/>
    <mergeCell ref="W27:AB27"/>
    <mergeCell ref="AD27:AI27"/>
    <mergeCell ref="J24:N27"/>
    <mergeCell ref="P24:U24"/>
    <mergeCell ref="AD39:AH39"/>
    <mergeCell ref="W24:AB24"/>
    <mergeCell ref="P26:U26"/>
    <mergeCell ref="W26:AB26"/>
    <mergeCell ref="P37:S37"/>
    <mergeCell ref="T37:X37"/>
    <mergeCell ref="Y37:AC37"/>
    <mergeCell ref="Y35:AC35"/>
    <mergeCell ref="P36:S36"/>
    <mergeCell ref="T36:X36"/>
    <mergeCell ref="Y36:AC36"/>
    <mergeCell ref="K41:U42"/>
    <mergeCell ref="Y41:AI42"/>
    <mergeCell ref="J43:V46"/>
    <mergeCell ref="X43:AJ44"/>
    <mergeCell ref="AB45:AE45"/>
    <mergeCell ref="AF45:AI45"/>
    <mergeCell ref="AB46:AG46"/>
    <mergeCell ref="J34:N39"/>
    <mergeCell ref="P34:S34"/>
    <mergeCell ref="T34:X34"/>
    <mergeCell ref="Y34:AC34"/>
    <mergeCell ref="AD34:AH34"/>
    <mergeCell ref="P35:S35"/>
    <mergeCell ref="T35:X35"/>
    <mergeCell ref="AD35:AH35"/>
    <mergeCell ref="AD36:AH36"/>
    <mergeCell ref="P39:S39"/>
    <mergeCell ref="T39:X39"/>
    <mergeCell ref="Y39:AC39"/>
    <mergeCell ref="P38:S38"/>
    <mergeCell ref="T38:X38"/>
    <mergeCell ref="Y38:AC38"/>
    <mergeCell ref="AD38:AH38"/>
    <mergeCell ref="J76:AJ77"/>
    <mergeCell ref="M200:AG201"/>
    <mergeCell ref="AH50:AJ50"/>
    <mergeCell ref="K55:U56"/>
    <mergeCell ref="Y55:AI56"/>
    <mergeCell ref="J57:V59"/>
    <mergeCell ref="X57:AJ58"/>
    <mergeCell ref="K63:Q63"/>
    <mergeCell ref="S63:U63"/>
    <mergeCell ref="AA63:AF65"/>
    <mergeCell ref="K50:U50"/>
    <mergeCell ref="AB47:AG47"/>
    <mergeCell ref="AB48:AG48"/>
    <mergeCell ref="AB49:AG49"/>
    <mergeCell ref="AB50:AG50"/>
    <mergeCell ref="J67:AJ75"/>
  </mergeCells>
  <conditionalFormatting sqref="F11">
    <cfRule type="expression" dxfId="17" priority="7">
      <formula>#REF!-TODAY()&gt;=7</formula>
    </cfRule>
    <cfRule type="expression" dxfId="16" priority="8">
      <formula>AND(#REF!-TODAY()&lt;7,#REF!-TODAY()&gt;2)</formula>
    </cfRule>
    <cfRule type="expression" dxfId="15" priority="9">
      <formula>AND(#REF!-TODAY()&lt;=2,#REF!-TODAY()&gt;=0)</formula>
    </cfRule>
  </conditionalFormatting>
  <conditionalFormatting sqref="K63">
    <cfRule type="containsBlanks" dxfId="14" priority="5">
      <formula>LEN(TRIM(K63))=0</formula>
    </cfRule>
    <cfRule type="expression" dxfId="13" priority="6">
      <formula>K63&lt;&gt;"Customer Signature"</formula>
    </cfRule>
  </conditionalFormatting>
  <conditionalFormatting sqref="S63">
    <cfRule type="containsBlanks" dxfId="12" priority="3">
      <formula>LEN(TRIM(S63))=0</formula>
    </cfRule>
    <cfRule type="expression" dxfId="11" priority="4">
      <formula>S63&lt;&gt;"Date"</formula>
    </cfRule>
  </conditionalFormatting>
  <conditionalFormatting sqref="AQ8:AW8">
    <cfRule type="expression" dxfId="10" priority="1781">
      <formula>IF($AQ$8=PROJSTATMEASURE,FALSE,TRUE)</formula>
    </cfRule>
  </conditionalFormatting>
  <hyperlinks>
    <hyperlink ref="AA63:AF65" r:id="rId1" display="✉ Draft Email" xr:uid="{3BF6CEDE-1BBD-4250-BF7F-71D72352EEDF}"/>
    <hyperlink ref="B202" r:id="rId2" display="businessrebates@evergy.com" xr:uid="{8ECC6558-1D0E-4411-AA59-DF1618D5D148}"/>
  </hyperlinks>
  <printOptions horizontalCentered="1"/>
  <pageMargins left="0" right="0" top="0" bottom="0" header="0" footer="0"/>
  <pageSetup scale="74"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32449" r:id="rId6" name="Review Cstm">
              <controlPr defaultSize="0" autoFill="0" autoLine="0" autoPict="0">
                <anchor moveWithCells="1">
                  <from>
                    <xdr:col>9</xdr:col>
                    <xdr:colOff>104775</xdr:colOff>
                    <xdr:row>46</xdr:row>
                    <xdr:rowOff>9525</xdr:rowOff>
                  </from>
                  <to>
                    <xdr:col>10</xdr:col>
                    <xdr:colOff>19050</xdr:colOff>
                    <xdr:row>47</xdr:row>
                    <xdr:rowOff>19050</xdr:rowOff>
                  </to>
                </anchor>
              </controlPr>
            </control>
          </mc:Choice>
        </mc:AlternateContent>
        <mc:AlternateContent xmlns:mc="http://schemas.openxmlformats.org/markup-compatibility/2006">
          <mc:Choice Requires="x14">
            <control shapeId="232450" r:id="rId7" name="Compl Int. Ltg.">
              <controlPr defaultSize="0" autoFill="0" autoLine="0" autoPict="0">
                <anchor moveWithCells="1">
                  <from>
                    <xdr:col>9</xdr:col>
                    <xdr:colOff>104775</xdr:colOff>
                    <xdr:row>46</xdr:row>
                    <xdr:rowOff>190500</xdr:rowOff>
                  </from>
                  <to>
                    <xdr:col>10</xdr:col>
                    <xdr:colOff>19050</xdr:colOff>
                    <xdr:row>48</xdr:row>
                    <xdr:rowOff>9525</xdr:rowOff>
                  </to>
                </anchor>
              </controlPr>
            </control>
          </mc:Choice>
        </mc:AlternateContent>
        <mc:AlternateContent xmlns:mc="http://schemas.openxmlformats.org/markup-compatibility/2006">
          <mc:Choice Requires="x14">
            <control shapeId="232451" r:id="rId8" name="Compl Std">
              <controlPr defaultSize="0" autoFill="0" autoLine="0" autoPict="0">
                <anchor moveWithCells="1">
                  <from>
                    <xdr:col>9</xdr:col>
                    <xdr:colOff>104775</xdr:colOff>
                    <xdr:row>47</xdr:row>
                    <xdr:rowOff>190500</xdr:rowOff>
                  </from>
                  <to>
                    <xdr:col>10</xdr:col>
                    <xdr:colOff>19050</xdr:colOff>
                    <xdr:row>49</xdr:row>
                    <xdr:rowOff>9525</xdr:rowOff>
                  </to>
                </anchor>
              </controlPr>
            </control>
          </mc:Choice>
        </mc:AlternateContent>
        <mc:AlternateContent xmlns:mc="http://schemas.openxmlformats.org/markup-compatibility/2006">
          <mc:Choice Requires="x14">
            <control shapeId="232452" r:id="rId9" name="Compl WBP">
              <controlPr defaultSize="0" autoFill="0" autoLine="0" autoPict="0">
                <anchor moveWithCells="1">
                  <from>
                    <xdr:col>9</xdr:col>
                    <xdr:colOff>104775</xdr:colOff>
                    <xdr:row>48</xdr:row>
                    <xdr:rowOff>190500</xdr:rowOff>
                  </from>
                  <to>
                    <xdr:col>10</xdr:col>
                    <xdr:colOff>19050</xdr:colOff>
                    <xdr:row>50</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57533-66F2-445C-92A4-E7D4BF6E2E37}">
  <sheetPr codeName="Sheet61">
    <tabColor theme="9" tint="0.59999389629810485"/>
    <pageSetUpPr fitToPage="1"/>
  </sheetPr>
  <dimension ref="A1:BW202"/>
  <sheetViews>
    <sheetView showGridLines="0" showRowColHeaders="0" zoomScale="85" zoomScaleNormal="85" workbookViewId="0">
      <selection activeCell="D10" sqref="D10:R12"/>
    </sheetView>
  </sheetViews>
  <sheetFormatPr defaultColWidth="0" defaultRowHeight="15" customHeight="1" zeroHeight="1"/>
  <cols>
    <col min="1" max="49" width="4.7109375" customWidth="1"/>
    <col min="50" max="75" width="8.85546875" hidden="1"/>
    <col min="76" max="16384" width="9.140625" hidden="1"/>
  </cols>
  <sheetData>
    <row r="1" spans="1:49" ht="15.95" customHeight="1">
      <c r="A1" s="21"/>
      <c r="B1" s="70"/>
      <c r="C1" s="70"/>
      <c r="D1" s="70"/>
      <c r="E1" s="70"/>
      <c r="F1" s="626" t="str">
        <f>N1S1</f>
        <v>Welcome</v>
      </c>
      <c r="G1" s="627"/>
      <c r="H1" s="627"/>
      <c r="I1" s="627"/>
      <c r="J1" s="626" t="str">
        <f>N1S2</f>
        <v>Instructions</v>
      </c>
      <c r="K1" s="627"/>
      <c r="L1" s="627"/>
      <c r="M1" s="627"/>
      <c r="O1" s="629" t="str">
        <f ca="1">EXPNOTICE_N</f>
        <v/>
      </c>
      <c r="P1" s="629"/>
      <c r="Q1" s="629"/>
      <c r="R1" s="629"/>
      <c r="S1" s="629"/>
      <c r="T1" s="629"/>
      <c r="U1" s="629"/>
      <c r="V1" s="629"/>
      <c r="W1" s="629"/>
      <c r="X1" s="629"/>
      <c r="Y1" s="629"/>
      <c r="Z1" s="629"/>
      <c r="AA1" s="629"/>
      <c r="AB1" s="629"/>
      <c r="AC1" s="629"/>
      <c r="AD1" s="629"/>
      <c r="AE1" s="629"/>
      <c r="AL1" s="631" t="str">
        <f>IF(ACTIVEOFFER_N="Yes","Sign Offer
Form","")</f>
        <v/>
      </c>
      <c r="AM1" s="631"/>
      <c r="AN1" s="631"/>
      <c r="AO1" s="631"/>
      <c r="AP1" s="631" t="str">
        <f>IF(ACTIVECOMPL_N="Yes","Sign Completion
Form","")</f>
        <v/>
      </c>
      <c r="AQ1" s="631"/>
      <c r="AR1" s="631"/>
      <c r="AS1" s="631"/>
      <c r="AT1" s="620" t="s">
        <v>1067</v>
      </c>
      <c r="AU1" s="621"/>
      <c r="AV1" s="621"/>
      <c r="AW1" s="621"/>
    </row>
    <row r="2" spans="1:49" ht="15.95" customHeight="1">
      <c r="B2" s="70"/>
      <c r="C2" s="70"/>
      <c r="D2" s="70"/>
      <c r="E2" s="70"/>
      <c r="F2" s="627"/>
      <c r="G2" s="627"/>
      <c r="H2" s="627"/>
      <c r="I2" s="627"/>
      <c r="J2" s="627"/>
      <c r="K2" s="627"/>
      <c r="L2" s="627"/>
      <c r="M2" s="627"/>
      <c r="O2" s="629"/>
      <c r="P2" s="629"/>
      <c r="Q2" s="629"/>
      <c r="R2" s="629"/>
      <c r="S2" s="629"/>
      <c r="T2" s="629"/>
      <c r="U2" s="629"/>
      <c r="V2" s="629"/>
      <c r="W2" s="629"/>
      <c r="X2" s="629"/>
      <c r="Y2" s="629"/>
      <c r="Z2" s="629"/>
      <c r="AA2" s="629"/>
      <c r="AB2" s="629"/>
      <c r="AC2" s="629"/>
      <c r="AD2" s="629"/>
      <c r="AE2" s="629"/>
      <c r="AL2" s="631"/>
      <c r="AM2" s="631"/>
      <c r="AN2" s="631"/>
      <c r="AO2" s="631"/>
      <c r="AP2" s="631"/>
      <c r="AQ2" s="631"/>
      <c r="AR2" s="631"/>
      <c r="AS2" s="631"/>
      <c r="AT2" s="621"/>
      <c r="AU2" s="621"/>
      <c r="AV2" s="621"/>
      <c r="AW2" s="621"/>
    </row>
    <row r="3" spans="1:49" ht="15.95" customHeight="1" thickBot="1">
      <c r="A3" s="72"/>
      <c r="B3" s="73"/>
      <c r="C3" s="73"/>
      <c r="D3" s="73"/>
      <c r="E3" s="73"/>
      <c r="F3" s="628"/>
      <c r="G3" s="628"/>
      <c r="H3" s="628"/>
      <c r="I3" s="628"/>
      <c r="J3" s="628"/>
      <c r="K3" s="628"/>
      <c r="L3" s="628"/>
      <c r="M3" s="628"/>
      <c r="N3" s="73"/>
      <c r="O3" s="630"/>
      <c r="P3" s="630"/>
      <c r="Q3" s="630"/>
      <c r="R3" s="630"/>
      <c r="S3" s="630"/>
      <c r="T3" s="630"/>
      <c r="U3" s="630"/>
      <c r="V3" s="630"/>
      <c r="W3" s="630"/>
      <c r="X3" s="630"/>
      <c r="Y3" s="630"/>
      <c r="Z3" s="630"/>
      <c r="AA3" s="630"/>
      <c r="AB3" s="630"/>
      <c r="AC3" s="630"/>
      <c r="AD3" s="630"/>
      <c r="AE3" s="630"/>
      <c r="AF3" s="72"/>
      <c r="AG3" s="72"/>
      <c r="AH3" s="72"/>
      <c r="AI3" s="72"/>
      <c r="AJ3" s="72"/>
      <c r="AK3" s="72"/>
      <c r="AL3" s="632"/>
      <c r="AM3" s="632"/>
      <c r="AN3" s="632"/>
      <c r="AO3" s="632"/>
      <c r="AP3" s="632"/>
      <c r="AQ3" s="632"/>
      <c r="AR3" s="632"/>
      <c r="AS3" s="632"/>
      <c r="AT3" s="622"/>
      <c r="AU3" s="622"/>
      <c r="AV3" s="622"/>
      <c r="AW3" s="622"/>
    </row>
    <row r="4" spans="1:49" ht="15.95" customHeight="1">
      <c r="B4" s="199"/>
      <c r="C4" s="199"/>
      <c r="D4" s="199"/>
      <c r="E4" s="199"/>
    </row>
    <row r="5" spans="1:49" ht="15.95" customHeight="1">
      <c r="A5" s="667">
        <f>INCENTOTAL_N</f>
        <v>0</v>
      </c>
      <c r="B5" s="667"/>
      <c r="C5" s="667"/>
      <c r="D5" s="667"/>
      <c r="E5" s="667"/>
      <c r="AQ5" s="668">
        <f ca="1">PROGRESSSTATUS_N</f>
        <v>0</v>
      </c>
      <c r="AR5" s="668"/>
      <c r="AS5" s="668"/>
      <c r="AT5" s="668"/>
      <c r="AU5" s="668"/>
      <c r="AV5" s="557"/>
      <c r="AW5" s="557"/>
    </row>
    <row r="6" spans="1:49" ht="15.95" customHeight="1">
      <c r="A6" s="667"/>
      <c r="B6" s="667"/>
      <c r="C6" s="667"/>
      <c r="D6" s="667"/>
      <c r="E6" s="667"/>
      <c r="AQ6" s="668"/>
      <c r="AR6" s="668"/>
      <c r="AS6" s="668"/>
      <c r="AT6" s="668"/>
      <c r="AU6" s="668"/>
      <c r="AV6" s="557"/>
      <c r="AW6" s="557"/>
    </row>
    <row r="7" spans="1:49" ht="15.95" customHeight="1">
      <c r="A7" s="665" t="s">
        <v>20</v>
      </c>
      <c r="B7" s="665"/>
      <c r="C7" s="665"/>
      <c r="D7" s="665"/>
      <c r="E7" s="665"/>
      <c r="AQ7" s="665" t="s">
        <v>179</v>
      </c>
      <c r="AR7" s="665"/>
      <c r="AS7" s="665"/>
      <c r="AT7" s="665"/>
      <c r="AU7" s="665"/>
      <c r="AV7" s="556"/>
      <c r="AW7" s="556"/>
    </row>
    <row r="8" spans="1:49" ht="15.95" customHeight="1" thickBot="1">
      <c r="A8" s="559"/>
      <c r="B8" s="559"/>
      <c r="C8" s="559"/>
      <c r="D8" s="559"/>
      <c r="E8" s="559"/>
      <c r="F8" s="559"/>
      <c r="G8" s="559"/>
      <c r="H8" s="559"/>
      <c r="I8" s="559"/>
      <c r="J8" s="559"/>
      <c r="K8" s="559"/>
      <c r="L8" s="559"/>
      <c r="M8" s="559"/>
      <c r="N8" s="559"/>
      <c r="O8" s="559"/>
      <c r="P8" s="559"/>
      <c r="Q8" s="559"/>
      <c r="R8" s="559"/>
      <c r="S8" s="559"/>
      <c r="T8" s="559"/>
      <c r="U8" s="559"/>
      <c r="V8" s="559"/>
      <c r="W8" s="559"/>
      <c r="X8" s="559"/>
      <c r="Y8" s="559"/>
      <c r="Z8" s="559"/>
      <c r="AA8" s="559"/>
      <c r="AB8" s="559"/>
      <c r="AC8" s="559"/>
      <c r="AD8" s="559"/>
      <c r="AE8" s="559"/>
      <c r="AF8" s="559"/>
      <c r="AG8" s="559"/>
      <c r="AH8" s="559"/>
      <c r="AI8" s="559"/>
      <c r="AJ8" s="559"/>
      <c r="AK8" s="559"/>
      <c r="AL8" s="559"/>
      <c r="AM8" s="559"/>
      <c r="AN8" s="559"/>
      <c r="AO8" s="559"/>
      <c r="AP8" s="559"/>
      <c r="AQ8" s="674" t="str">
        <f ca="1">PROJSTATUS_N</f>
        <v>Enter Measures</v>
      </c>
      <c r="AR8" s="674"/>
      <c r="AS8" s="674"/>
      <c r="AT8" s="674"/>
      <c r="AU8" s="674"/>
      <c r="AV8" s="559"/>
      <c r="AW8" s="559"/>
    </row>
    <row r="9" spans="1:49" ht="15.95" customHeight="1">
      <c r="B9" s="286"/>
      <c r="C9" s="21"/>
      <c r="D9" s="1519" t="s">
        <v>1911</v>
      </c>
      <c r="E9" s="1519"/>
      <c r="F9" s="1519"/>
      <c r="G9" s="1519"/>
      <c r="H9" s="1519"/>
      <c r="I9" s="1519"/>
      <c r="J9" s="1519"/>
      <c r="K9" s="1519"/>
      <c r="L9" s="1519"/>
      <c r="M9" s="1519"/>
      <c r="N9" s="1519"/>
      <c r="O9" s="1519"/>
      <c r="P9" s="1519"/>
      <c r="Q9" s="1519"/>
      <c r="R9" s="1519"/>
      <c r="S9" s="637" t="str">
        <f>N5S7</f>
        <v>Summary Form</v>
      </c>
      <c r="T9" s="637"/>
      <c r="U9" s="637"/>
      <c r="V9" s="637"/>
      <c r="W9" s="637"/>
      <c r="X9" s="637"/>
      <c r="Y9" s="637"/>
      <c r="Z9" s="637"/>
      <c r="AA9" s="637"/>
    </row>
    <row r="10" spans="1:49" ht="15.95" customHeight="1">
      <c r="A10" s="286"/>
      <c r="B10" s="286"/>
      <c r="C10" s="1509" t="s">
        <v>1902</v>
      </c>
      <c r="D10" s="1510" t="str">
        <f ca="1">_xlfn.LET( _xlpm.OVERRIDE,
IF(OVERRIDETOTAL_N&gt;0,"Incentive has been overridden. ",""),
_xlpm.WBP,
IF(ACTIVEWBP_N="Yes","Confirm WBP tab is shown. ","Confirm WBP tab is hidden. "),
_xlpm.BLDGTYPE,
IF(AND(N02S03F34= N02S03F35,N02S03F34 &lt;&gt; ""),"New &amp; Existing Building Types are the same - verify Change of Purpose. ",""),
_xlpm.NCCODE,
IF(IFERROR(NEWCONCODE, TRUE)=TRUE,"Baseline Code is invalid. ",""),
_xlpm.UNIT_N4S1,
IF(NOT(ISNUMBER(N4S1UNITCHECK)),N4S1UNITCHECK,""),
_xlpm.UNIT_N4S2,
IF(NOT(ISNUMBER(N4S2UNITCHECK)),N4S2UNITCHECK,""),
_xlpm.UNIT_N4S3,
IF(NOT(ISNUMBER(N4S3UNITCHECK)),N4S3UNITCHECK,""),
_xlpm.UNIT_N4S4,
IF(NOT(ISNUMBER(N4S4UNITCHECK)),N4S4UNITCHECK,""),
_xlpm.UNIT_N4S5,
IF(NOT(ISNUMBER(N4S5UNITCHECK)),N4S5UNITCHECK,""),
_xlpm.UNIT_N4S6,
IF(NOT(ISNUMBER(N4S6UNITCHECK)),N4S6UNITCHECK,""),
_xlpm.BONUS,
IF(ACTIVEBONUS_N = TRUE,"Incentive increase is active. ",""),
_xlpm.BONUS &amp; _xlpm.OVERRIDE &amp; _xlpm.WBP &amp; _xlpm.BLDGTYPE &amp; _xlpm.NCCODE &amp; _xlpm.UNIT_N4S1 &amp; _xlpm.UNIT_N4S2 &amp; _xlpm.UNIT_N4S3 &amp; _xlpm.UNIT_N4S4 &amp; _xlpm.UNIT_N4S5 &amp; _xlpm.UNIT_N4S6
)</f>
        <v xml:space="preserve">Confirm WBP tab is shown. </v>
      </c>
      <c r="E10" s="1511"/>
      <c r="F10" s="1511"/>
      <c r="G10" s="1511"/>
      <c r="H10" s="1511"/>
      <c r="I10" s="1511"/>
      <c r="J10" s="1511"/>
      <c r="K10" s="1511"/>
      <c r="L10" s="1511"/>
      <c r="M10" s="1511"/>
      <c r="N10" s="1511"/>
      <c r="O10" s="1511"/>
      <c r="P10" s="1511"/>
      <c r="Q10" s="1511"/>
      <c r="R10" s="1512"/>
      <c r="S10" s="637"/>
      <c r="T10" s="637"/>
      <c r="U10" s="637"/>
      <c r="V10" s="637"/>
      <c r="W10" s="637"/>
      <c r="X10" s="637"/>
      <c r="Y10" s="637"/>
      <c r="Z10" s="637"/>
      <c r="AA10" s="637"/>
      <c r="AB10" s="286"/>
      <c r="AC10" s="286"/>
      <c r="AD10" s="286"/>
      <c r="AE10" s="286"/>
      <c r="AF10" s="286"/>
      <c r="AG10" s="286"/>
      <c r="AI10" s="286"/>
      <c r="AJ10" s="286"/>
      <c r="AK10" s="286"/>
      <c r="AL10" s="286"/>
      <c r="AM10" s="286"/>
      <c r="AN10" s="286"/>
      <c r="AO10" s="286"/>
      <c r="AP10" s="286"/>
      <c r="AQ10" s="286"/>
      <c r="AR10" s="286"/>
      <c r="AS10" s="286"/>
      <c r="AT10" s="286"/>
      <c r="AU10" s="286"/>
      <c r="AV10" s="286"/>
      <c r="AW10" s="286"/>
    </row>
    <row r="11" spans="1:49" ht="15.95" customHeight="1">
      <c r="A11" s="286"/>
      <c r="B11" s="286"/>
      <c r="C11" s="1509"/>
      <c r="D11" s="1513"/>
      <c r="E11" s="1514"/>
      <c r="F11" s="1514"/>
      <c r="G11" s="1514"/>
      <c r="H11" s="1514"/>
      <c r="I11" s="1514"/>
      <c r="J11" s="1514"/>
      <c r="K11" s="1514"/>
      <c r="L11" s="1514"/>
      <c r="M11" s="1514"/>
      <c r="N11" s="1514"/>
      <c r="O11" s="1514"/>
      <c r="P11" s="1514"/>
      <c r="Q11" s="1514"/>
      <c r="R11" s="1515"/>
      <c r="W11" s="416"/>
      <c r="X11" s="416"/>
      <c r="Y11" s="416"/>
      <c r="Z11" s="416"/>
      <c r="AA11" s="416"/>
      <c r="AB11" s="286"/>
      <c r="AC11" s="286"/>
      <c r="AD11" s="286"/>
      <c r="AE11" s="286"/>
      <c r="AF11" s="286"/>
      <c r="AG11" s="286"/>
      <c r="AI11" s="286"/>
      <c r="AJ11" s="286"/>
      <c r="AK11" s="286"/>
      <c r="AL11" s="286"/>
      <c r="AM11" s="286"/>
      <c r="AN11" s="286"/>
      <c r="AO11" s="286"/>
      <c r="AP11" s="286"/>
      <c r="AQ11" s="286"/>
      <c r="AR11" s="286"/>
      <c r="AS11" s="286"/>
      <c r="AT11" s="286"/>
      <c r="AU11" s="286"/>
      <c r="AV11" s="286"/>
      <c r="AW11" s="286"/>
    </row>
    <row r="12" spans="1:49" ht="15.95" customHeight="1">
      <c r="A12" s="286"/>
      <c r="B12" s="286"/>
      <c r="D12" s="1516"/>
      <c r="E12" s="1517"/>
      <c r="F12" s="1517"/>
      <c r="G12" s="1517"/>
      <c r="H12" s="1517"/>
      <c r="I12" s="1517"/>
      <c r="J12" s="1517"/>
      <c r="K12" s="1517"/>
      <c r="L12" s="1517"/>
      <c r="M12" s="1517"/>
      <c r="N12" s="1517"/>
      <c r="O12" s="1517"/>
      <c r="P12" s="1517"/>
      <c r="Q12" s="1517"/>
      <c r="R12" s="1518"/>
      <c r="X12" s="416"/>
      <c r="Y12" s="416"/>
      <c r="Z12" s="416"/>
      <c r="AA12" s="416"/>
      <c r="AB12" s="286"/>
      <c r="AC12" s="286"/>
      <c r="AD12" s="286"/>
      <c r="AE12" s="286"/>
      <c r="AF12" s="286"/>
      <c r="AG12" s="286"/>
      <c r="AI12" s="286"/>
      <c r="AJ12" s="286"/>
      <c r="AK12" s="286"/>
      <c r="AL12" s="286"/>
      <c r="AM12" s="286"/>
      <c r="AN12" s="286"/>
      <c r="AO12" s="286"/>
      <c r="AP12" s="286"/>
      <c r="AQ12" s="286"/>
      <c r="AR12" s="286"/>
    </row>
    <row r="13" spans="1:49" ht="15.95" customHeight="1" thickBot="1">
      <c r="B13" s="21"/>
      <c r="X13" s="21"/>
      <c r="Y13" s="21"/>
      <c r="Z13" s="21"/>
      <c r="AA13" s="21"/>
      <c r="AB13" s="21"/>
      <c r="AC13" s="21"/>
      <c r="AD13" s="21"/>
      <c r="AE13" s="21"/>
      <c r="AF13" s="21"/>
      <c r="AG13" s="21"/>
      <c r="AH13" s="21"/>
      <c r="AI13" s="21"/>
      <c r="AJ13" s="21"/>
      <c r="AK13" s="21"/>
      <c r="AL13" s="21"/>
      <c r="AM13" s="21"/>
      <c r="AN13" s="21"/>
      <c r="AO13" s="21"/>
      <c r="AP13" s="21"/>
      <c r="AQ13" s="21"/>
      <c r="AR13" s="21"/>
    </row>
    <row r="14" spans="1:49" ht="15.95" customHeight="1" thickBot="1">
      <c r="B14" s="21"/>
      <c r="C14" s="1469" t="s">
        <v>6</v>
      </c>
      <c r="D14" s="1470"/>
      <c r="E14" s="1470"/>
      <c r="F14" s="1470"/>
      <c r="G14" s="1470"/>
      <c r="H14" s="1470"/>
      <c r="I14" s="1470"/>
      <c r="J14" s="1470"/>
      <c r="K14" s="1470"/>
      <c r="L14" s="1471"/>
      <c r="N14" s="1447" t="s">
        <v>1016</v>
      </c>
      <c r="O14" s="1448"/>
      <c r="P14" s="1448"/>
      <c r="Q14" s="1448"/>
      <c r="R14" s="1448"/>
      <c r="S14" s="1448"/>
      <c r="T14" s="1448"/>
      <c r="U14" s="1449"/>
      <c r="W14" s="1469" t="s">
        <v>1283</v>
      </c>
      <c r="X14" s="1470"/>
      <c r="Y14" s="1470"/>
      <c r="Z14" s="1470"/>
      <c r="AA14" s="1470"/>
      <c r="AB14" s="1470"/>
      <c r="AC14" s="1470"/>
      <c r="AD14" s="1470"/>
      <c r="AE14" s="1470"/>
      <c r="AF14" s="1471"/>
      <c r="AH14" s="1447" t="s">
        <v>187</v>
      </c>
      <c r="AI14" s="1448"/>
      <c r="AJ14" s="1448"/>
      <c r="AK14" s="1448"/>
      <c r="AL14" s="1448"/>
      <c r="AM14" s="1448"/>
      <c r="AN14" s="1448"/>
      <c r="AO14" s="1448"/>
      <c r="AP14" s="1448"/>
      <c r="AQ14" s="1449"/>
      <c r="AR14" s="21"/>
    </row>
    <row r="15" spans="1:49" ht="15.95" customHeight="1" thickBot="1">
      <c r="B15" s="21"/>
      <c r="C15" s="1425" t="s">
        <v>1033</v>
      </c>
      <c r="D15" s="1425"/>
      <c r="E15" s="1425"/>
      <c r="F15" s="1425"/>
      <c r="G15" s="1500" t="str">
        <f>PROPER(N02S03F15)</f>
        <v/>
      </c>
      <c r="H15" s="1501"/>
      <c r="I15" s="1501"/>
      <c r="J15" s="1501"/>
      <c r="K15" s="1501"/>
      <c r="L15" s="1502"/>
      <c r="N15" s="1460" t="s">
        <v>1281</v>
      </c>
      <c r="O15" s="1461"/>
      <c r="P15" s="1461"/>
      <c r="Q15" s="1462"/>
      <c r="R15" s="1503" t="str">
        <f ca="1">IF(COMPTERMS_N=1,"Completed",IF(COMPTERMS_N&gt;0.7,"Almost!","Incomplete"))</f>
        <v>Incomplete</v>
      </c>
      <c r="S15" s="1504"/>
      <c r="T15" s="1504"/>
      <c r="U15" s="1505"/>
      <c r="W15" s="1451"/>
      <c r="X15" s="1452"/>
      <c r="Y15" s="1452"/>
      <c r="Z15" s="1452"/>
      <c r="AA15" s="1452"/>
      <c r="AB15" s="1452"/>
      <c r="AC15" s="1452"/>
      <c r="AD15" s="1452"/>
      <c r="AE15" s="1452"/>
      <c r="AF15" s="1453"/>
      <c r="AH15" s="1429" t="s">
        <v>1659</v>
      </c>
      <c r="AI15" s="1430"/>
      <c r="AJ15" s="1430"/>
      <c r="AK15" s="1431"/>
      <c r="AL15" s="1494"/>
      <c r="AM15" s="1495"/>
      <c r="AN15" s="1495"/>
      <c r="AO15" s="1495"/>
      <c r="AP15" s="1495"/>
      <c r="AQ15" s="1496"/>
      <c r="AR15" s="21"/>
    </row>
    <row r="16" spans="1:49" ht="15.95" customHeight="1" thickBot="1">
      <c r="B16" s="21"/>
      <c r="C16" s="1425" t="s">
        <v>1034</v>
      </c>
      <c r="D16" s="1425"/>
      <c r="E16" s="1425"/>
      <c r="F16" s="1487"/>
      <c r="G16" s="1488">
        <f>N02S03F11</f>
        <v>0</v>
      </c>
      <c r="H16" s="1489"/>
      <c r="I16" s="1489"/>
      <c r="J16" s="1489"/>
      <c r="K16" s="1489"/>
      <c r="L16" s="1490"/>
      <c r="N16" s="1460" t="s">
        <v>1280</v>
      </c>
      <c r="O16" s="1461"/>
      <c r="P16" s="1461"/>
      <c r="Q16" s="1462"/>
      <c r="R16" s="1497">
        <f>N02S01F01</f>
        <v>0</v>
      </c>
      <c r="S16" s="1498"/>
      <c r="T16" s="1498"/>
      <c r="U16" s="1499"/>
      <c r="W16" s="1454"/>
      <c r="X16" s="1455"/>
      <c r="Y16" s="1455"/>
      <c r="Z16" s="1455"/>
      <c r="AA16" s="1455"/>
      <c r="AB16" s="1455"/>
      <c r="AC16" s="1455"/>
      <c r="AD16" s="1455"/>
      <c r="AE16" s="1455"/>
      <c r="AF16" s="1456"/>
      <c r="AH16" s="1429" t="s">
        <v>275</v>
      </c>
      <c r="AI16" s="1430"/>
      <c r="AJ16" s="1430"/>
      <c r="AK16" s="1431"/>
      <c r="AL16" s="1484"/>
      <c r="AM16" s="1485"/>
      <c r="AN16" s="1485"/>
      <c r="AO16" s="1485"/>
      <c r="AP16" s="1485"/>
      <c r="AQ16" s="1486"/>
      <c r="AR16" s="21"/>
    </row>
    <row r="17" spans="2:44" ht="15.95" customHeight="1" thickBot="1">
      <c r="B17" s="21"/>
      <c r="C17" s="1425" t="s">
        <v>1034</v>
      </c>
      <c r="D17" s="1425"/>
      <c r="E17" s="1425"/>
      <c r="F17" s="1487"/>
      <c r="G17" s="1488">
        <f>N02S03F12</f>
        <v>0</v>
      </c>
      <c r="H17" s="1489"/>
      <c r="I17" s="1489"/>
      <c r="J17" s="1489"/>
      <c r="K17" s="1489"/>
      <c r="L17" s="1490"/>
      <c r="N17" s="1460" t="s">
        <v>1656</v>
      </c>
      <c r="O17" s="1461"/>
      <c r="P17" s="1461"/>
      <c r="Q17" s="1462"/>
      <c r="R17" s="1422" t="str">
        <f ca="1">IF(COMPTA_N=1,"Completed",IF(COMPTA_N&gt;0.7,"Almost!","Incomplete"))</f>
        <v>Incomplete</v>
      </c>
      <c r="S17" s="1423"/>
      <c r="T17" s="1423"/>
      <c r="U17" s="1424"/>
      <c r="W17" s="1454"/>
      <c r="X17" s="1455"/>
      <c r="Y17" s="1455"/>
      <c r="Z17" s="1455"/>
      <c r="AA17" s="1455"/>
      <c r="AB17" s="1455"/>
      <c r="AC17" s="1455"/>
      <c r="AD17" s="1455"/>
      <c r="AE17" s="1455"/>
      <c r="AF17" s="1456"/>
      <c r="AH17" s="1429" t="s">
        <v>184</v>
      </c>
      <c r="AI17" s="1430"/>
      <c r="AJ17" s="1430"/>
      <c r="AK17" s="1431"/>
      <c r="AL17" s="1484"/>
      <c r="AM17" s="1485"/>
      <c r="AN17" s="1485"/>
      <c r="AO17" s="1485"/>
      <c r="AP17" s="1485"/>
      <c r="AQ17" s="1486"/>
      <c r="AR17" s="21"/>
    </row>
    <row r="18" spans="2:44" ht="15.95" customHeight="1" thickBot="1">
      <c r="B18" s="21"/>
      <c r="C18" s="1425" t="s">
        <v>839</v>
      </c>
      <c r="D18" s="1425"/>
      <c r="E18" s="1425"/>
      <c r="F18" s="1425"/>
      <c r="G18" s="1478" t="s">
        <v>38</v>
      </c>
      <c r="H18" s="1479"/>
      <c r="I18" s="1479"/>
      <c r="J18" s="1479"/>
      <c r="K18" s="1479"/>
      <c r="L18" s="1480"/>
      <c r="N18" s="1460" t="s">
        <v>1658</v>
      </c>
      <c r="O18" s="1461"/>
      <c r="P18" s="1461"/>
      <c r="Q18" s="1462"/>
      <c r="R18" s="1481" t="str">
        <f ca="1">IF(COMPBUILD_N=1,"Completed",IF(COMPBUILD_N&gt;0.7,"Almost!","Incomplete"))</f>
        <v>Incomplete</v>
      </c>
      <c r="S18" s="1482"/>
      <c r="T18" s="1482"/>
      <c r="U18" s="1483"/>
      <c r="W18" s="1454"/>
      <c r="X18" s="1455"/>
      <c r="Y18" s="1455"/>
      <c r="Z18" s="1455"/>
      <c r="AA18" s="1455"/>
      <c r="AB18" s="1455"/>
      <c r="AC18" s="1455"/>
      <c r="AD18" s="1455"/>
      <c r="AE18" s="1455"/>
      <c r="AF18" s="1456"/>
      <c r="AH18" s="1429" t="s">
        <v>185</v>
      </c>
      <c r="AI18" s="1430"/>
      <c r="AJ18" s="1430"/>
      <c r="AK18" s="1431"/>
      <c r="AL18" s="1484"/>
      <c r="AM18" s="1485"/>
      <c r="AN18" s="1485"/>
      <c r="AO18" s="1485"/>
      <c r="AP18" s="1485"/>
      <c r="AQ18" s="1486"/>
      <c r="AR18" s="21"/>
    </row>
    <row r="19" spans="2:44" ht="15.95" customHeight="1" thickBot="1">
      <c r="B19" s="21"/>
      <c r="C19" s="1425" t="s">
        <v>1219</v>
      </c>
      <c r="D19" s="1425"/>
      <c r="E19" s="1425"/>
      <c r="F19" s="1425"/>
      <c r="G19" s="1466" t="s">
        <v>38</v>
      </c>
      <c r="H19" s="1467"/>
      <c r="I19" s="1467"/>
      <c r="J19" s="1467"/>
      <c r="K19" s="1467"/>
      <c r="L19" s="1468"/>
      <c r="N19" s="1460" t="s">
        <v>1657</v>
      </c>
      <c r="O19" s="1461"/>
      <c r="P19" s="1461"/>
      <c r="Q19" s="1462"/>
      <c r="R19" s="1491" t="str">
        <f ca="1">IF(COMPDTM_N=1,"Completed",IF(COMPDTM_N&gt;0.7,"Almost!","Incomplete"))</f>
        <v>Completed</v>
      </c>
      <c r="S19" s="1492"/>
      <c r="T19" s="1492"/>
      <c r="U19" s="1493"/>
      <c r="W19" s="1457"/>
      <c r="X19" s="1458"/>
      <c r="Y19" s="1458"/>
      <c r="Z19" s="1458"/>
      <c r="AA19" s="1458"/>
      <c r="AB19" s="1458"/>
      <c r="AC19" s="1458"/>
      <c r="AD19" s="1458"/>
      <c r="AE19" s="1458"/>
      <c r="AF19" s="1459"/>
      <c r="AH19" s="1429" t="s">
        <v>186</v>
      </c>
      <c r="AI19" s="1430"/>
      <c r="AJ19" s="1430"/>
      <c r="AK19" s="1431"/>
      <c r="AL19" s="1475"/>
      <c r="AM19" s="1476"/>
      <c r="AN19" s="1476"/>
      <c r="AO19" s="1476"/>
      <c r="AP19" s="1476"/>
      <c r="AQ19" s="1477"/>
      <c r="AR19" s="21"/>
    </row>
    <row r="20" spans="2:44" ht="15.95" customHeight="1" thickBot="1">
      <c r="B20" s="21"/>
      <c r="C20" s="1425" t="s">
        <v>1035</v>
      </c>
      <c r="D20" s="1425"/>
      <c r="E20" s="1425"/>
      <c r="F20" s="1425"/>
      <c r="G20" s="1466" t="str">
        <f>VERSION</f>
        <v>v3.0.0</v>
      </c>
      <c r="H20" s="1467"/>
      <c r="I20" s="1467"/>
      <c r="J20" s="1467"/>
      <c r="K20" s="1467"/>
      <c r="L20" s="1468"/>
      <c r="N20" s="1460" t="s">
        <v>1499</v>
      </c>
      <c r="O20" s="1461"/>
      <c r="P20" s="1461"/>
      <c r="Q20" s="1462"/>
      <c r="R20" s="1422" t="str">
        <f>IF(COMPMEASURE_N=1,"Completed",IF(COMPMEASURE_N&gt;0.7,"Almost!","Incomplete"))</f>
        <v>Completed</v>
      </c>
      <c r="S20" s="1423"/>
      <c r="T20" s="1423"/>
      <c r="U20" s="1424"/>
      <c r="AH20" s="1429" t="s">
        <v>293</v>
      </c>
      <c r="AI20" s="1430"/>
      <c r="AJ20" s="1430"/>
      <c r="AK20" s="1431"/>
      <c r="AL20" s="1472" t="str">
        <f>IF(ISTEXT(N02S03F27),N02S03F27,"")</f>
        <v/>
      </c>
      <c r="AM20" s="1473"/>
      <c r="AN20" s="1473"/>
      <c r="AO20" s="1473"/>
      <c r="AP20" s="1473"/>
      <c r="AQ20" s="1474"/>
      <c r="AR20" s="21"/>
    </row>
    <row r="21" spans="2:44" ht="15.95" customHeight="1" thickBot="1">
      <c r="B21" s="21"/>
      <c r="C21" s="1425"/>
      <c r="D21" s="1425"/>
      <c r="E21" s="1425"/>
      <c r="F21" s="1425"/>
      <c r="G21" s="1444"/>
      <c r="H21" s="1445"/>
      <c r="I21" s="1445"/>
      <c r="J21" s="1445"/>
      <c r="K21" s="1445"/>
      <c r="L21" s="1446"/>
      <c r="N21" s="1460" t="s">
        <v>767</v>
      </c>
      <c r="O21" s="1461"/>
      <c r="P21" s="1461"/>
      <c r="Q21" s="1462"/>
      <c r="R21" s="1422" t="str">
        <f ca="1">IF(COMPPAY_N=1,"Completed",IF(COMPPAY_N&gt;0.7,"Almost!","Incomplete"))</f>
        <v>Incomplete</v>
      </c>
      <c r="S21" s="1423"/>
      <c r="T21" s="1423"/>
      <c r="U21" s="1424"/>
      <c r="W21" s="1469" t="s">
        <v>1284</v>
      </c>
      <c r="X21" s="1470"/>
      <c r="Y21" s="1470"/>
      <c r="Z21" s="1470"/>
      <c r="AA21" s="1470"/>
      <c r="AB21" s="1470"/>
      <c r="AC21" s="1470"/>
      <c r="AD21" s="1470"/>
      <c r="AE21" s="1470"/>
      <c r="AF21" s="1471"/>
      <c r="AH21" s="1429" t="s">
        <v>1481</v>
      </c>
      <c r="AI21" s="1430"/>
      <c r="AJ21" s="1430"/>
      <c r="AK21" s="1431"/>
      <c r="AL21" s="1463" t="str" cm="1">
        <f t="array" aca="1" ref="AL21" ca="1">"IECC " &amp; MAX( 2012,
IFERROR(IF(CODE_CITY = "", 0, RIGHT(CODE_CITY, 4)), 0),
IFERROR(IF(CODE_COUNTY = "", 0, RIGHT(CODE_COUNTY, 4)), 0))</f>
        <v>IECC 2012</v>
      </c>
      <c r="AM21" s="1464"/>
      <c r="AN21" s="1464"/>
      <c r="AO21" s="1464"/>
      <c r="AP21" s="1464"/>
      <c r="AQ21" s="1465"/>
      <c r="AR21" s="21"/>
    </row>
    <row r="22" spans="2:44" ht="15.95" customHeight="1" thickBot="1">
      <c r="B22" s="21"/>
      <c r="C22" s="1425"/>
      <c r="D22" s="1425"/>
      <c r="E22" s="1425"/>
      <c r="F22" s="1425"/>
      <c r="G22" s="1444" t="s">
        <v>1449</v>
      </c>
      <c r="H22" s="1445"/>
      <c r="I22" s="1446"/>
      <c r="J22" s="1444" t="s">
        <v>1454</v>
      </c>
      <c r="K22" s="1445"/>
      <c r="L22" s="1446"/>
      <c r="N22" s="1426"/>
      <c r="O22" s="1427"/>
      <c r="P22" s="1427"/>
      <c r="Q22" s="1428"/>
      <c r="R22" s="1422"/>
      <c r="S22" s="1423"/>
      <c r="T22" s="1423"/>
      <c r="U22" s="1424"/>
      <c r="W22" s="1451"/>
      <c r="X22" s="1452"/>
      <c r="Y22" s="1452"/>
      <c r="Z22" s="1452"/>
      <c r="AA22" s="1452"/>
      <c r="AB22" s="1452"/>
      <c r="AC22" s="1452"/>
      <c r="AD22" s="1452"/>
      <c r="AE22" s="1452"/>
      <c r="AF22" s="1453"/>
      <c r="AR22" s="21"/>
    </row>
    <row r="23" spans="2:44" ht="15.95" customHeight="1" thickBot="1">
      <c r="B23" s="21"/>
      <c r="C23" s="1450" t="s">
        <v>1774</v>
      </c>
      <c r="D23" s="1450"/>
      <c r="E23" s="1450"/>
      <c r="F23" s="1450"/>
      <c r="G23" s="1444">
        <f>N02S04F01</f>
        <v>0</v>
      </c>
      <c r="H23" s="1445"/>
      <c r="I23" s="1445"/>
      <c r="J23" s="1444">
        <f>N02S04F02</f>
        <v>0</v>
      </c>
      <c r="K23" s="1445"/>
      <c r="L23" s="1446"/>
      <c r="N23" s="1426"/>
      <c r="O23" s="1427"/>
      <c r="P23" s="1427"/>
      <c r="Q23" s="1428"/>
      <c r="R23" s="1422"/>
      <c r="S23" s="1423"/>
      <c r="T23" s="1423"/>
      <c r="U23" s="1424"/>
      <c r="W23" s="1454"/>
      <c r="X23" s="1455"/>
      <c r="Y23" s="1455"/>
      <c r="Z23" s="1455"/>
      <c r="AA23" s="1455"/>
      <c r="AB23" s="1455"/>
      <c r="AC23" s="1455"/>
      <c r="AD23" s="1455"/>
      <c r="AE23" s="1455"/>
      <c r="AF23" s="1456"/>
      <c r="AH23" s="1447" t="s">
        <v>770</v>
      </c>
      <c r="AI23" s="1448"/>
      <c r="AJ23" s="1448"/>
      <c r="AK23" s="1448"/>
      <c r="AL23" s="1448"/>
      <c r="AM23" s="1448"/>
      <c r="AN23" s="1448"/>
      <c r="AO23" s="1448"/>
      <c r="AP23" s="1448"/>
      <c r="AQ23" s="1449"/>
      <c r="AR23" s="21"/>
    </row>
    <row r="24" spans="2:44" ht="15.95" customHeight="1" thickBot="1">
      <c r="B24" s="21"/>
      <c r="C24" s="1450" t="s">
        <v>1773</v>
      </c>
      <c r="D24" s="1450"/>
      <c r="E24" s="1450"/>
      <c r="F24" s="1450"/>
      <c r="G24" s="1444">
        <f>N02S04F03</f>
        <v>0</v>
      </c>
      <c r="H24" s="1445"/>
      <c r="I24" s="1445"/>
      <c r="J24" s="1444">
        <f>N02S04F04</f>
        <v>0</v>
      </c>
      <c r="K24" s="1445"/>
      <c r="L24" s="1446"/>
      <c r="N24" s="1426"/>
      <c r="O24" s="1427"/>
      <c r="P24" s="1427"/>
      <c r="Q24" s="1428"/>
      <c r="R24" s="1422"/>
      <c r="S24" s="1423"/>
      <c r="T24" s="1423"/>
      <c r="U24" s="1424"/>
      <c r="W24" s="1454"/>
      <c r="X24" s="1455"/>
      <c r="Y24" s="1455"/>
      <c r="Z24" s="1455"/>
      <c r="AA24" s="1455"/>
      <c r="AB24" s="1455"/>
      <c r="AC24" s="1455"/>
      <c r="AD24" s="1455"/>
      <c r="AE24" s="1455"/>
      <c r="AF24" s="1456"/>
      <c r="AH24" s="1429" t="s">
        <v>771</v>
      </c>
      <c r="AI24" s="1430"/>
      <c r="AJ24" s="1430"/>
      <c r="AK24" s="1431"/>
      <c r="AL24" s="1438" t="s">
        <v>791</v>
      </c>
      <c r="AM24" s="1439"/>
      <c r="AN24" s="1439"/>
      <c r="AO24" s="1439"/>
      <c r="AP24" s="1439"/>
      <c r="AQ24" s="1440"/>
      <c r="AR24" s="21"/>
    </row>
    <row r="25" spans="2:44" ht="15.95" customHeight="1" thickBot="1">
      <c r="C25" s="1450" t="s">
        <v>1772</v>
      </c>
      <c r="D25" s="1450"/>
      <c r="E25" s="1450"/>
      <c r="F25" s="1450"/>
      <c r="G25" s="1444">
        <f>N02S04F05</f>
        <v>0</v>
      </c>
      <c r="H25" s="1445"/>
      <c r="I25" s="1445"/>
      <c r="J25" s="1444">
        <f>N02S04F06</f>
        <v>0</v>
      </c>
      <c r="K25" s="1445"/>
      <c r="L25" s="1446"/>
      <c r="N25" s="1426"/>
      <c r="O25" s="1427"/>
      <c r="P25" s="1427"/>
      <c r="Q25" s="1428"/>
      <c r="R25" s="1422"/>
      <c r="S25" s="1423"/>
      <c r="T25" s="1423"/>
      <c r="U25" s="1424"/>
      <c r="W25" s="1454"/>
      <c r="X25" s="1455"/>
      <c r="Y25" s="1455"/>
      <c r="Z25" s="1455"/>
      <c r="AA25" s="1455"/>
      <c r="AB25" s="1455"/>
      <c r="AC25" s="1455"/>
      <c r="AD25" s="1455"/>
      <c r="AE25" s="1455"/>
      <c r="AF25" s="1456"/>
      <c r="AH25" s="1429" t="s">
        <v>772</v>
      </c>
      <c r="AI25" s="1430"/>
      <c r="AJ25" s="1430"/>
      <c r="AK25" s="1431"/>
      <c r="AL25" s="1438" t="s">
        <v>791</v>
      </c>
      <c r="AM25" s="1439"/>
      <c r="AN25" s="1439"/>
      <c r="AO25" s="1439"/>
      <c r="AP25" s="1439"/>
      <c r="AQ25" s="1440"/>
    </row>
    <row r="26" spans="2:44" ht="15.95" customHeight="1" thickBot="1">
      <c r="C26" s="1450" t="s">
        <v>1775</v>
      </c>
      <c r="D26" s="1450"/>
      <c r="E26" s="1450"/>
      <c r="F26" s="1450"/>
      <c r="G26" s="1444">
        <f>N02S04F07</f>
        <v>0</v>
      </c>
      <c r="H26" s="1445"/>
      <c r="I26" s="1445"/>
      <c r="J26" s="1445"/>
      <c r="K26" s="1445"/>
      <c r="L26" s="1446"/>
      <c r="N26" s="1426"/>
      <c r="O26" s="1427"/>
      <c r="P26" s="1427"/>
      <c r="Q26" s="1428"/>
      <c r="R26" s="1422"/>
      <c r="S26" s="1423"/>
      <c r="T26" s="1423"/>
      <c r="U26" s="1424"/>
      <c r="W26" s="1457"/>
      <c r="X26" s="1458"/>
      <c r="Y26" s="1458"/>
      <c r="Z26" s="1458"/>
      <c r="AA26" s="1458"/>
      <c r="AB26" s="1458"/>
      <c r="AC26" s="1458"/>
      <c r="AD26" s="1458"/>
      <c r="AE26" s="1458"/>
      <c r="AF26" s="1459"/>
      <c r="AH26" s="1429" t="s">
        <v>1069</v>
      </c>
      <c r="AI26" s="1430"/>
      <c r="AJ26" s="1430"/>
      <c r="AK26" s="1431"/>
      <c r="AL26" s="1438"/>
      <c r="AM26" s="1439"/>
      <c r="AN26" s="1439"/>
      <c r="AO26" s="1439"/>
      <c r="AP26" s="1439"/>
      <c r="AQ26" s="1440"/>
    </row>
    <row r="27" spans="2:44" ht="15.95" customHeight="1" thickBot="1">
      <c r="C27" s="1425"/>
      <c r="D27" s="1425"/>
      <c r="E27" s="1425"/>
      <c r="F27" s="1425"/>
      <c r="G27" s="1444"/>
      <c r="H27" s="1445"/>
      <c r="I27" s="1445"/>
      <c r="J27" s="1445"/>
      <c r="K27" s="1445"/>
      <c r="L27" s="1446"/>
      <c r="N27" s="419"/>
      <c r="O27" s="419"/>
      <c r="P27" s="419"/>
      <c r="Q27" s="419"/>
      <c r="R27" s="420"/>
      <c r="S27" s="420"/>
      <c r="T27" s="420"/>
      <c r="U27" s="420"/>
      <c r="W27" s="418"/>
      <c r="X27" s="418"/>
      <c r="Y27" s="418"/>
      <c r="Z27" s="418"/>
      <c r="AA27" s="418"/>
      <c r="AB27" s="418"/>
      <c r="AC27" s="418"/>
      <c r="AD27" s="418"/>
      <c r="AE27" s="418"/>
      <c r="AF27" s="418"/>
      <c r="AH27" s="1429" t="s">
        <v>1930</v>
      </c>
      <c r="AI27" s="1430"/>
      <c r="AJ27" s="1430"/>
      <c r="AK27" s="1431"/>
      <c r="AL27" s="1438" t="s">
        <v>323</v>
      </c>
      <c r="AM27" s="1439"/>
      <c r="AN27" s="1439"/>
      <c r="AO27" s="1439"/>
      <c r="AP27" s="1439"/>
      <c r="AQ27" s="1440"/>
    </row>
    <row r="28" spans="2:44" ht="15.95" customHeight="1" thickBot="1">
      <c r="B28" s="21"/>
      <c r="AR28" s="21"/>
    </row>
    <row r="29" spans="2:44" ht="15.95" customHeight="1" thickBot="1">
      <c r="B29" s="21"/>
      <c r="C29" s="1411" t="s">
        <v>1023</v>
      </c>
      <c r="D29" s="1411"/>
      <c r="E29" s="1411"/>
      <c r="F29" s="1411"/>
      <c r="G29" s="1411"/>
      <c r="H29" s="1411"/>
      <c r="I29" s="1411"/>
      <c r="J29" s="1411"/>
      <c r="K29" s="1411"/>
      <c r="L29" s="1411"/>
      <c r="M29" s="1411"/>
      <c r="N29" s="1411"/>
      <c r="O29" s="1411"/>
      <c r="P29" s="112"/>
      <c r="Q29" s="1411" t="s">
        <v>1024</v>
      </c>
      <c r="R29" s="1411"/>
      <c r="S29" s="1411"/>
      <c r="T29" s="1411"/>
      <c r="U29" s="1411"/>
      <c r="V29" s="1411"/>
      <c r="W29" s="1411"/>
      <c r="X29" s="1411"/>
      <c r="Y29" s="1411"/>
      <c r="Z29" s="1411"/>
      <c r="AA29" s="1411"/>
      <c r="AB29" s="1411"/>
      <c r="AC29" s="1411"/>
      <c r="AD29" s="112"/>
      <c r="AE29" s="1411" t="s">
        <v>1776</v>
      </c>
      <c r="AF29" s="1411"/>
      <c r="AG29" s="1411"/>
      <c r="AH29" s="1411"/>
      <c r="AI29" s="1411"/>
      <c r="AJ29" s="1411"/>
      <c r="AK29" s="1411"/>
      <c r="AL29" s="1411"/>
      <c r="AM29" s="1411"/>
      <c r="AN29" s="1411"/>
      <c r="AO29" s="1411"/>
      <c r="AP29" s="1411"/>
      <c r="AQ29" s="1411"/>
      <c r="AR29" s="21"/>
    </row>
    <row r="30" spans="2:44" ht="15.95" customHeight="1" thickBot="1">
      <c r="B30" s="21"/>
      <c r="C30" s="1408" t="s">
        <v>1017</v>
      </c>
      <c r="D30" s="1408"/>
      <c r="E30" s="1408"/>
      <c r="F30" s="1408"/>
      <c r="G30" s="1409" t="str">
        <f>SUBSTITUTE(PROPER(N02S03F01),"'S","'s")</f>
        <v/>
      </c>
      <c r="H30" s="1409"/>
      <c r="I30" s="1409"/>
      <c r="J30" s="1409"/>
      <c r="K30" s="1409"/>
      <c r="L30" s="1409"/>
      <c r="M30" s="1409"/>
      <c r="N30" s="1409"/>
      <c r="O30" s="1409"/>
      <c r="P30" s="112"/>
      <c r="Q30" s="1441" t="s">
        <v>1037</v>
      </c>
      <c r="R30" s="1442"/>
      <c r="S30" s="1442"/>
      <c r="T30" s="1443"/>
      <c r="U30" s="1402" t="str">
        <f>SUBSTITUTE(PROPER(N02S03F15),"'S","'s")</f>
        <v/>
      </c>
      <c r="V30" s="1403"/>
      <c r="W30" s="1403"/>
      <c r="X30" s="1403"/>
      <c r="Y30" s="1403"/>
      <c r="Z30" s="1403"/>
      <c r="AA30" s="1403"/>
      <c r="AB30" s="1403"/>
      <c r="AC30" s="1404"/>
      <c r="AD30" s="112"/>
      <c r="AE30" s="1412" t="s">
        <v>1040</v>
      </c>
      <c r="AF30" s="1412"/>
      <c r="AG30" s="1412"/>
      <c r="AH30" s="1412"/>
      <c r="AI30" s="1413" t="str">
        <f>SUBSTITUTE(PROPER(N02S02F01),"'S","'s")</f>
        <v/>
      </c>
      <c r="AJ30" s="1413"/>
      <c r="AK30" s="1413"/>
      <c r="AL30" s="1413"/>
      <c r="AM30" s="1413"/>
      <c r="AN30" s="1413"/>
      <c r="AO30" s="1413"/>
      <c r="AP30" s="1413"/>
      <c r="AQ30" s="1413"/>
      <c r="AR30" s="21"/>
    </row>
    <row r="31" spans="2:44" ht="15.95" customHeight="1" thickBot="1">
      <c r="B31" s="21"/>
      <c r="C31" s="1408" t="s">
        <v>1018</v>
      </c>
      <c r="D31" s="1408"/>
      <c r="E31" s="1408"/>
      <c r="F31" s="1408"/>
      <c r="G31" s="1409" t="str">
        <f>PROPER(N02S03F06)</f>
        <v/>
      </c>
      <c r="H31" s="1409"/>
      <c r="I31" s="1409"/>
      <c r="J31" s="1409"/>
      <c r="K31" s="1409"/>
      <c r="L31" s="1409" t="str">
        <f>PROPER(N02S03F07)</f>
        <v/>
      </c>
      <c r="M31" s="1409"/>
      <c r="N31" s="1409"/>
      <c r="O31" s="1409"/>
      <c r="P31" s="112"/>
      <c r="Q31" s="1410" t="s">
        <v>1018</v>
      </c>
      <c r="R31" s="1410"/>
      <c r="S31" s="1410"/>
      <c r="T31" s="1410"/>
      <c r="U31" s="1402" t="str">
        <f>PROPER(N02S03F21)</f>
        <v/>
      </c>
      <c r="V31" s="1403"/>
      <c r="W31" s="1403"/>
      <c r="X31" s="1403"/>
      <c r="Y31" s="1404"/>
      <c r="Z31" s="1402" t="str">
        <f>PROPER(N02S03F22)</f>
        <v/>
      </c>
      <c r="AA31" s="1403"/>
      <c r="AB31" s="1403"/>
      <c r="AC31" s="1404"/>
      <c r="AD31" s="112"/>
      <c r="AE31" s="1412" t="s">
        <v>1018</v>
      </c>
      <c r="AF31" s="1412"/>
      <c r="AG31" s="1412"/>
      <c r="AH31" s="1412"/>
      <c r="AI31" s="1413" t="str">
        <f>PROPER(N02S02F06)</f>
        <v/>
      </c>
      <c r="AJ31" s="1413"/>
      <c r="AK31" s="1413"/>
      <c r="AL31" s="1413"/>
      <c r="AM31" s="1413"/>
      <c r="AN31" s="1413" t="str">
        <f>PROPER(N02S02F07)</f>
        <v/>
      </c>
      <c r="AO31" s="1413"/>
      <c r="AP31" s="1413"/>
      <c r="AQ31" s="1413"/>
      <c r="AR31" s="21"/>
    </row>
    <row r="32" spans="2:44" ht="15.95" customHeight="1" thickBot="1">
      <c r="B32" s="21"/>
      <c r="C32" s="1408" t="s">
        <v>1019</v>
      </c>
      <c r="D32" s="1408"/>
      <c r="E32" s="1408"/>
      <c r="F32" s="1408"/>
      <c r="G32" s="1409" t="str">
        <f>PROPER(N02S03F08)</f>
        <v/>
      </c>
      <c r="H32" s="1409"/>
      <c r="I32" s="1409"/>
      <c r="J32" s="1409"/>
      <c r="K32" s="1409"/>
      <c r="L32" s="1409"/>
      <c r="M32" s="1409"/>
      <c r="N32" s="1409"/>
      <c r="O32" s="1409"/>
      <c r="P32" s="112"/>
      <c r="Q32" s="1410" t="s">
        <v>1019</v>
      </c>
      <c r="R32" s="1410"/>
      <c r="S32" s="1410"/>
      <c r="T32" s="1410"/>
      <c r="U32" s="1405" t="str">
        <f>PROPER(N02S03F23)</f>
        <v/>
      </c>
      <c r="V32" s="1405"/>
      <c r="W32" s="1405"/>
      <c r="X32" s="1405"/>
      <c r="Y32" s="1405"/>
      <c r="Z32" s="1405"/>
      <c r="AA32" s="1405"/>
      <c r="AB32" s="1405"/>
      <c r="AC32" s="1405"/>
      <c r="AD32" s="112"/>
      <c r="AE32" s="1412" t="s">
        <v>1019</v>
      </c>
      <c r="AF32" s="1412"/>
      <c r="AG32" s="1412"/>
      <c r="AH32" s="1412"/>
      <c r="AI32" s="1413" t="str">
        <f>PROPER(N02S02F08)</f>
        <v/>
      </c>
      <c r="AJ32" s="1413"/>
      <c r="AK32" s="1413"/>
      <c r="AL32" s="1413"/>
      <c r="AM32" s="1413"/>
      <c r="AN32" s="1413"/>
      <c r="AO32" s="1413"/>
      <c r="AP32" s="1413"/>
      <c r="AQ32" s="1413"/>
      <c r="AR32" s="21"/>
    </row>
    <row r="33" spans="2:44" ht="15.95" customHeight="1" thickBot="1">
      <c r="B33" s="21"/>
      <c r="C33" s="1408" t="s">
        <v>167</v>
      </c>
      <c r="D33" s="1408"/>
      <c r="E33" s="1408"/>
      <c r="F33" s="1408"/>
      <c r="G33" s="1506">
        <f>N02S03F09</f>
        <v>0</v>
      </c>
      <c r="H33" s="1507"/>
      <c r="I33" s="1507"/>
      <c r="J33" s="1507"/>
      <c r="K33" s="1507"/>
      <c r="L33" s="1507"/>
      <c r="M33" s="1507"/>
      <c r="N33" s="1507"/>
      <c r="O33" s="1508"/>
      <c r="P33" s="112"/>
      <c r="Q33" s="1410" t="s">
        <v>167</v>
      </c>
      <c r="R33" s="1410"/>
      <c r="S33" s="1410"/>
      <c r="T33" s="1410"/>
      <c r="U33" s="1435" t="str">
        <f>N02S03F24</f>
        <v/>
      </c>
      <c r="V33" s="1436"/>
      <c r="W33" s="1436"/>
      <c r="X33" s="1436"/>
      <c r="Y33" s="1436"/>
      <c r="Z33" s="1436"/>
      <c r="AA33" s="1436"/>
      <c r="AB33" s="1436"/>
      <c r="AC33" s="1437"/>
      <c r="AD33" s="112"/>
      <c r="AE33" s="1412" t="s">
        <v>167</v>
      </c>
      <c r="AF33" s="1412"/>
      <c r="AG33" s="1412"/>
      <c r="AH33" s="1412"/>
      <c r="AI33" s="1432">
        <f>N02S02F09</f>
        <v>0</v>
      </c>
      <c r="AJ33" s="1433"/>
      <c r="AK33" s="1433"/>
      <c r="AL33" s="1433"/>
      <c r="AM33" s="1433"/>
      <c r="AN33" s="1433"/>
      <c r="AO33" s="1433"/>
      <c r="AP33" s="1433"/>
      <c r="AQ33" s="1434"/>
      <c r="AR33" s="21"/>
    </row>
    <row r="34" spans="2:44" ht="15.95" customHeight="1" thickBot="1">
      <c r="B34" s="21"/>
      <c r="C34" s="1408" t="s">
        <v>53</v>
      </c>
      <c r="D34" s="1408"/>
      <c r="E34" s="1408"/>
      <c r="F34" s="1408"/>
      <c r="G34" s="1409">
        <f>N02S03F10</f>
        <v>0</v>
      </c>
      <c r="H34" s="1409"/>
      <c r="I34" s="1409"/>
      <c r="J34" s="1409"/>
      <c r="K34" s="1409"/>
      <c r="L34" s="1409"/>
      <c r="M34" s="1409"/>
      <c r="N34" s="1409"/>
      <c r="O34" s="1409"/>
      <c r="P34" s="112"/>
      <c r="Q34" s="1410" t="s">
        <v>53</v>
      </c>
      <c r="R34" s="1410"/>
      <c r="S34" s="1410"/>
      <c r="T34" s="1410"/>
      <c r="U34" s="1405" t="str">
        <f>N02S03F25</f>
        <v/>
      </c>
      <c r="V34" s="1405"/>
      <c r="W34" s="1405"/>
      <c r="X34" s="1405"/>
      <c r="Y34" s="1405"/>
      <c r="Z34" s="1405"/>
      <c r="AA34" s="1405"/>
      <c r="AB34" s="1405"/>
      <c r="AC34" s="1405"/>
      <c r="AD34" s="112"/>
      <c r="AE34" s="1412" t="s">
        <v>53</v>
      </c>
      <c r="AF34" s="1412"/>
      <c r="AG34" s="1412"/>
      <c r="AH34" s="1412"/>
      <c r="AI34" s="1413">
        <f>N02S02F10</f>
        <v>0</v>
      </c>
      <c r="AJ34" s="1413"/>
      <c r="AK34" s="1413"/>
      <c r="AL34" s="1413"/>
      <c r="AM34" s="1413"/>
      <c r="AN34" s="1413"/>
      <c r="AO34" s="1413"/>
      <c r="AP34" s="1413"/>
      <c r="AQ34" s="1413"/>
      <c r="AR34" s="21"/>
    </row>
    <row r="35" spans="2:44" ht="15.95" customHeight="1" thickBot="1">
      <c r="B35" s="21"/>
      <c r="C35" s="1408" t="s">
        <v>1020</v>
      </c>
      <c r="D35" s="1408"/>
      <c r="E35" s="1408"/>
      <c r="F35" s="1408"/>
      <c r="G35" s="1409" t="str">
        <f>PROPER(N02S03F02)</f>
        <v/>
      </c>
      <c r="H35" s="1409"/>
      <c r="I35" s="1409"/>
      <c r="J35" s="1409"/>
      <c r="K35" s="1409"/>
      <c r="L35" s="1409"/>
      <c r="M35" s="1409"/>
      <c r="N35" s="1409"/>
      <c r="O35" s="1409"/>
      <c r="P35" s="112"/>
      <c r="Q35" s="1410" t="s">
        <v>1032</v>
      </c>
      <c r="R35" s="1410"/>
      <c r="S35" s="1410"/>
      <c r="T35" s="1410"/>
      <c r="U35" s="1405" t="str">
        <f>PROPER(N02S03F16)</f>
        <v/>
      </c>
      <c r="V35" s="1405"/>
      <c r="W35" s="1405"/>
      <c r="X35" s="1405"/>
      <c r="Y35" s="1405"/>
      <c r="Z35" s="1405"/>
      <c r="AA35" s="1405"/>
      <c r="AB35" s="1405"/>
      <c r="AC35" s="1405"/>
      <c r="AD35" s="112"/>
      <c r="AE35" s="1412" t="s">
        <v>1039</v>
      </c>
      <c r="AF35" s="1412"/>
      <c r="AG35" s="1412"/>
      <c r="AH35" s="1412"/>
      <c r="AI35" s="1413" t="str">
        <f>PROPER(N02S02F02)</f>
        <v/>
      </c>
      <c r="AJ35" s="1413"/>
      <c r="AK35" s="1413"/>
      <c r="AL35" s="1413"/>
      <c r="AM35" s="1413"/>
      <c r="AN35" s="1413"/>
      <c r="AO35" s="1413"/>
      <c r="AP35" s="1413"/>
      <c r="AQ35" s="1413"/>
      <c r="AR35" s="21"/>
    </row>
    <row r="36" spans="2:44" ht="15.95" customHeight="1" thickBot="1">
      <c r="B36" s="21"/>
      <c r="C36" s="1408" t="s">
        <v>188</v>
      </c>
      <c r="D36" s="1408"/>
      <c r="E36" s="1408"/>
      <c r="F36" s="1408"/>
      <c r="G36" s="1409" t="str">
        <f>PROPER(N02S03F03)</f>
        <v/>
      </c>
      <c r="H36" s="1409"/>
      <c r="I36" s="1409"/>
      <c r="J36" s="1409"/>
      <c r="K36" s="1409"/>
      <c r="L36" s="1409">
        <f>N02S03F04</f>
        <v>0</v>
      </c>
      <c r="M36" s="1409"/>
      <c r="N36" s="1415">
        <f>N02S03F05</f>
        <v>0</v>
      </c>
      <c r="O36" s="1415"/>
      <c r="P36" s="112"/>
      <c r="Q36" s="1410" t="s">
        <v>188</v>
      </c>
      <c r="R36" s="1410"/>
      <c r="S36" s="1410"/>
      <c r="T36" s="1410"/>
      <c r="U36" s="1402" t="str">
        <f>PROPER(N02S03F17)</f>
        <v/>
      </c>
      <c r="V36" s="1403"/>
      <c r="W36" s="1403"/>
      <c r="X36" s="1403"/>
      <c r="Y36" s="1404"/>
      <c r="Z36" s="1405" t="str">
        <f>N02S03F18</f>
        <v>MO</v>
      </c>
      <c r="AA36" s="1405"/>
      <c r="AB36" s="1406">
        <f>N02S03F19</f>
        <v>0</v>
      </c>
      <c r="AC36" s="1406"/>
      <c r="AD36" s="112"/>
      <c r="AE36" s="1412" t="s">
        <v>188</v>
      </c>
      <c r="AF36" s="1412"/>
      <c r="AG36" s="1412"/>
      <c r="AH36" s="1412"/>
      <c r="AI36" s="1413" t="str">
        <f>PROPER(N02S02F03)</f>
        <v/>
      </c>
      <c r="AJ36" s="1413"/>
      <c r="AK36" s="1413"/>
      <c r="AL36" s="1413"/>
      <c r="AM36" s="1413"/>
      <c r="AN36" s="1413">
        <f>N02S02F04</f>
        <v>0</v>
      </c>
      <c r="AO36" s="1413"/>
      <c r="AP36" s="1414">
        <f>N02S02F05</f>
        <v>0</v>
      </c>
      <c r="AQ36" s="1414"/>
      <c r="AR36" s="21"/>
    </row>
    <row r="37" spans="2:44" ht="15.95" customHeight="1" thickBot="1">
      <c r="B37" s="21"/>
      <c r="AR37" s="21"/>
    </row>
    <row r="38" spans="2:44" ht="15.95" customHeight="1" thickBot="1">
      <c r="B38" s="21"/>
      <c r="C38" s="1411" t="s">
        <v>18</v>
      </c>
      <c r="D38" s="1411"/>
      <c r="E38" s="1411"/>
      <c r="F38" s="1411"/>
      <c r="G38" s="1411"/>
      <c r="H38" s="1411"/>
      <c r="I38" s="1411"/>
      <c r="J38" s="1411"/>
      <c r="K38" s="1411"/>
      <c r="L38" s="1411"/>
      <c r="M38" s="1411"/>
      <c r="N38" s="1411"/>
      <c r="O38" s="1411"/>
      <c r="P38" s="112"/>
      <c r="Q38" s="1411" t="s">
        <v>1025</v>
      </c>
      <c r="R38" s="1411"/>
      <c r="S38" s="1411"/>
      <c r="T38" s="1411"/>
      <c r="U38" s="1411"/>
      <c r="V38" s="1411"/>
      <c r="W38" s="1411"/>
      <c r="X38" s="1411"/>
      <c r="Y38" s="1411"/>
      <c r="Z38" s="1411"/>
      <c r="AA38" s="1411"/>
      <c r="AB38" s="1411"/>
      <c r="AC38" s="1411"/>
      <c r="AE38" s="1411" t="s">
        <v>189</v>
      </c>
      <c r="AF38" s="1411"/>
      <c r="AG38" s="1411"/>
      <c r="AH38" s="1411"/>
      <c r="AI38" s="1411"/>
      <c r="AJ38" s="1411"/>
      <c r="AK38" s="1411"/>
      <c r="AL38" s="1411"/>
      <c r="AM38" s="1411"/>
      <c r="AN38" s="1411"/>
      <c r="AO38" s="1411"/>
      <c r="AP38" s="1411"/>
      <c r="AQ38" s="1411"/>
      <c r="AR38" s="21"/>
    </row>
    <row r="39" spans="2:44" ht="15.95" customHeight="1" thickBot="1">
      <c r="B39" s="21"/>
      <c r="C39" s="1407" t="s">
        <v>1038</v>
      </c>
      <c r="D39" s="1407"/>
      <c r="E39" s="1407"/>
      <c r="F39" s="1407"/>
      <c r="G39" s="1393">
        <f>N02S03F26</f>
        <v>0</v>
      </c>
      <c r="H39" s="1393"/>
      <c r="I39" s="1393"/>
      <c r="J39" s="1393"/>
      <c r="K39" s="1393"/>
      <c r="L39" s="1393"/>
      <c r="M39" s="1393"/>
      <c r="N39" s="1393"/>
      <c r="O39" s="1393"/>
      <c r="P39" s="112"/>
      <c r="Q39" s="1374" t="s">
        <v>1031</v>
      </c>
      <c r="R39" s="1374"/>
      <c r="S39" s="1374"/>
      <c r="T39" s="1374"/>
      <c r="U39" s="1375">
        <f>N05S01F01</f>
        <v>0</v>
      </c>
      <c r="V39" s="1375"/>
      <c r="W39" s="1375"/>
      <c r="X39" s="1375"/>
      <c r="Y39" s="1375"/>
      <c r="Z39" s="1375"/>
      <c r="AA39" s="1375"/>
      <c r="AB39" s="1375"/>
      <c r="AC39" s="1375"/>
      <c r="AE39" s="1389" t="s">
        <v>20</v>
      </c>
      <c r="AF39" s="1389"/>
      <c r="AG39" s="1389"/>
      <c r="AH39" s="1389"/>
      <c r="AI39" s="1385">
        <f ca="1">SUM(EXPORT_N!V3:V346)</f>
        <v>0</v>
      </c>
      <c r="AJ39" s="1385"/>
      <c r="AK39" s="1385"/>
      <c r="AL39" s="1385"/>
      <c r="AM39" s="1385"/>
      <c r="AN39" s="1385"/>
      <c r="AO39" s="1385"/>
      <c r="AP39" s="1385"/>
      <c r="AQ39" s="1385"/>
      <c r="AR39" s="21"/>
    </row>
    <row r="40" spans="2:44" ht="15.95" customHeight="1" thickBot="1">
      <c r="B40" s="21"/>
      <c r="C40" s="1371" t="s">
        <v>1036</v>
      </c>
      <c r="D40" s="1372"/>
      <c r="E40" s="1372"/>
      <c r="F40" s="1373"/>
      <c r="G40" s="1393">
        <f>N02S03F13</f>
        <v>0</v>
      </c>
      <c r="H40" s="1393"/>
      <c r="I40" s="1393"/>
      <c r="J40" s="1393"/>
      <c r="K40" s="1393"/>
      <c r="L40" s="1393"/>
      <c r="M40" s="1393"/>
      <c r="N40" s="1393"/>
      <c r="O40" s="1393"/>
      <c r="P40" s="112"/>
      <c r="Q40" s="1374" t="s">
        <v>1026</v>
      </c>
      <c r="R40" s="1374"/>
      <c r="S40" s="1374"/>
      <c r="T40" s="1374"/>
      <c r="U40" s="1375" t="str">
        <f>SUBSTITUTE(PROPER(N05S01F02),"S","s")</f>
        <v/>
      </c>
      <c r="V40" s="1375"/>
      <c r="W40" s="1375"/>
      <c r="X40" s="1375"/>
      <c r="Y40" s="1375"/>
      <c r="Z40" s="1375"/>
      <c r="AA40" s="1375"/>
      <c r="AB40" s="1375"/>
      <c r="AC40" s="1375"/>
      <c r="AE40" s="1389" t="s">
        <v>725</v>
      </c>
      <c r="AF40" s="1389"/>
      <c r="AG40" s="1389"/>
      <c r="AH40" s="1389"/>
      <c r="AI40" s="1398">
        <f ca="1">SUMIF(EXPORT_N!AX3:AX346,"=Deemed",EXPORT_N!R3:R346)+SUMIF(EXPORT_N!AX3:AX346,"=Calculated",EXPORT_N!S3:S346)</f>
        <v>0</v>
      </c>
      <c r="AJ40" s="1398"/>
      <c r="AK40" s="1398"/>
      <c r="AL40" s="1398"/>
      <c r="AM40" s="1398"/>
      <c r="AN40" s="1398"/>
      <c r="AO40" s="1398"/>
      <c r="AP40" s="1398"/>
      <c r="AQ40" s="1398"/>
      <c r="AR40" s="21"/>
    </row>
    <row r="41" spans="2:44" ht="15.95" customHeight="1" thickBot="1">
      <c r="B41" s="21"/>
      <c r="C41" s="1371" t="s">
        <v>1022</v>
      </c>
      <c r="D41" s="1372"/>
      <c r="E41" s="1372"/>
      <c r="F41" s="1373"/>
      <c r="G41" s="1393" t="str">
        <f>N02S03F14</f>
        <v/>
      </c>
      <c r="H41" s="1393"/>
      <c r="I41" s="1393"/>
      <c r="J41" s="1393"/>
      <c r="K41" s="1393"/>
      <c r="L41" s="1393"/>
      <c r="M41" s="1393"/>
      <c r="N41" s="1393"/>
      <c r="O41" s="1393"/>
      <c r="P41" s="112"/>
      <c r="Q41" s="1374" t="s">
        <v>1027</v>
      </c>
      <c r="R41" s="1374"/>
      <c r="S41" s="1374"/>
      <c r="T41" s="1374"/>
      <c r="U41" s="1375" t="str">
        <f>PROPER(N05S01F07)</f>
        <v/>
      </c>
      <c r="V41" s="1375"/>
      <c r="W41" s="1375"/>
      <c r="X41" s="1375"/>
      <c r="Y41" s="1375"/>
      <c r="Z41" s="1375" t="str">
        <f>PROPER(N05S01F08)</f>
        <v/>
      </c>
      <c r="AA41" s="1375"/>
      <c r="AB41" s="1375"/>
      <c r="AC41" s="1375"/>
      <c r="AE41" s="1389" t="s">
        <v>962</v>
      </c>
      <c r="AF41" s="1389"/>
      <c r="AG41" s="1389"/>
      <c r="AH41" s="1389"/>
      <c r="AI41" s="1398">
        <f ca="1">SUMIF(EXPORT_N!AX3:AX346,"=Deemed",EXPORT_N!T3:T346)+SUMIF(EXPORT_N!AX3:AX346,"=Calculated",EXPORT_N!U3:U346)</f>
        <v>0</v>
      </c>
      <c r="AJ41" s="1398"/>
      <c r="AK41" s="1398"/>
      <c r="AL41" s="1398"/>
      <c r="AM41" s="1398"/>
      <c r="AN41" s="1398"/>
      <c r="AO41" s="1398"/>
      <c r="AP41" s="1398"/>
      <c r="AQ41" s="1398"/>
      <c r="AR41" s="21"/>
    </row>
    <row r="42" spans="2:44" ht="15.95" customHeight="1" thickBot="1">
      <c r="B42" s="21"/>
      <c r="C42" s="1371" t="s">
        <v>1767</v>
      </c>
      <c r="D42" s="1372"/>
      <c r="E42" s="1372"/>
      <c r="F42" s="1373"/>
      <c r="G42" s="1416">
        <f>N02S03F28</f>
        <v>0</v>
      </c>
      <c r="H42" s="1417"/>
      <c r="I42" s="1417"/>
      <c r="J42" s="1417"/>
      <c r="K42" s="1418">
        <f>N02S03F31</f>
        <v>0</v>
      </c>
      <c r="L42" s="1419"/>
      <c r="M42" s="1419"/>
      <c r="N42" s="1419"/>
      <c r="O42" s="1420"/>
      <c r="P42" s="112"/>
      <c r="Q42" s="1374" t="s">
        <v>1029</v>
      </c>
      <c r="R42" s="1374"/>
      <c r="S42" s="1374"/>
      <c r="T42" s="1374"/>
      <c r="U42" s="1397" t="str">
        <f>N05S01F09</f>
        <v/>
      </c>
      <c r="V42" s="1397"/>
      <c r="W42" s="1397"/>
      <c r="X42" s="1397"/>
      <c r="Y42" s="1397"/>
      <c r="Z42" s="1397"/>
      <c r="AA42" s="1397"/>
      <c r="AB42" s="1397"/>
      <c r="AC42" s="1397"/>
      <c r="AE42" s="1389" t="s">
        <v>208</v>
      </c>
      <c r="AF42" s="1389"/>
      <c r="AG42" s="1389"/>
      <c r="AH42" s="1389"/>
      <c r="AI42" s="1388">
        <f ca="1">SUM(EXPORT_N!Q3:Q346)</f>
        <v>0</v>
      </c>
      <c r="AJ42" s="1388"/>
      <c r="AK42" s="1388"/>
      <c r="AL42" s="1388"/>
      <c r="AM42" s="1388"/>
      <c r="AN42" s="1388"/>
      <c r="AO42" s="1388"/>
      <c r="AP42" s="1388"/>
      <c r="AQ42" s="1388"/>
      <c r="AR42" s="21"/>
    </row>
    <row r="43" spans="2:44" ht="15.95" customHeight="1" thickBot="1">
      <c r="B43" s="21"/>
      <c r="C43" s="1371" t="s">
        <v>1041</v>
      </c>
      <c r="D43" s="1372"/>
      <c r="E43" s="1372"/>
      <c r="F43" s="1373"/>
      <c r="G43" s="1393">
        <f>N02S03F29</f>
        <v>0</v>
      </c>
      <c r="H43" s="1393"/>
      <c r="I43" s="1393"/>
      <c r="J43" s="1393"/>
      <c r="K43" s="1393"/>
      <c r="L43" s="1393"/>
      <c r="M43" s="1393"/>
      <c r="N43" s="1393"/>
      <c r="O43" s="1393"/>
      <c r="P43" s="112"/>
      <c r="Q43" s="1374" t="s">
        <v>1030</v>
      </c>
      <c r="R43" s="1374"/>
      <c r="S43" s="1374"/>
      <c r="T43" s="1374"/>
      <c r="U43" s="1375" t="str">
        <f>N05S01F10</f>
        <v/>
      </c>
      <c r="V43" s="1375"/>
      <c r="W43" s="1375"/>
      <c r="X43" s="1375"/>
      <c r="Y43" s="1375"/>
      <c r="Z43" s="1375"/>
      <c r="AA43" s="1375"/>
      <c r="AB43" s="1375"/>
      <c r="AC43" s="1375"/>
      <c r="AE43" s="1376" t="s">
        <v>835</v>
      </c>
      <c r="AF43" s="1377"/>
      <c r="AG43" s="1377"/>
      <c r="AH43" s="1378"/>
      <c r="AI43" s="1379">
        <f ca="1">SUM(EXPORT_N!L3:L346)</f>
        <v>0</v>
      </c>
      <c r="AJ43" s="1380"/>
      <c r="AK43" s="1380"/>
      <c r="AL43" s="1380"/>
      <c r="AM43" s="1380"/>
      <c r="AN43" s="1380"/>
      <c r="AO43" s="1380"/>
      <c r="AP43" s="1380"/>
      <c r="AQ43" s="1381"/>
      <c r="AR43" s="21"/>
    </row>
    <row r="44" spans="2:44" ht="15.95" customHeight="1" thickBot="1">
      <c r="B44" s="21"/>
      <c r="C44" s="1371" t="s">
        <v>1021</v>
      </c>
      <c r="D44" s="1372"/>
      <c r="E44" s="1372"/>
      <c r="F44" s="1373"/>
      <c r="G44" s="1393">
        <f>N02S03F30</f>
        <v>0</v>
      </c>
      <c r="H44" s="1393"/>
      <c r="I44" s="1393"/>
      <c r="J44" s="1393"/>
      <c r="K44" s="1393"/>
      <c r="L44" s="1393"/>
      <c r="M44" s="1393"/>
      <c r="N44" s="1393"/>
      <c r="O44" s="1393"/>
      <c r="P44" s="112"/>
      <c r="Q44" s="1374" t="s">
        <v>1028</v>
      </c>
      <c r="R44" s="1374"/>
      <c r="S44" s="1374"/>
      <c r="T44" s="1374"/>
      <c r="U44" s="1375" t="str">
        <f>PROPER(N05S01F03)</f>
        <v/>
      </c>
      <c r="V44" s="1375"/>
      <c r="W44" s="1375"/>
      <c r="X44" s="1375"/>
      <c r="Y44" s="1375"/>
      <c r="Z44" s="1375"/>
      <c r="AA44" s="1375"/>
      <c r="AB44" s="1375"/>
      <c r="AC44" s="1375"/>
      <c r="AE44" s="1376" t="s">
        <v>1525</v>
      </c>
      <c r="AF44" s="1377"/>
      <c r="AG44" s="1377"/>
      <c r="AH44" s="1378"/>
      <c r="AI44" s="1379">
        <f ca="1">SUM(EXPORT_N!O3:O346)</f>
        <v>0</v>
      </c>
      <c r="AJ44" s="1380"/>
      <c r="AK44" s="1380"/>
      <c r="AL44" s="1380"/>
      <c r="AM44" s="1380"/>
      <c r="AN44" s="1380"/>
      <c r="AO44" s="1380"/>
      <c r="AP44" s="1380"/>
      <c r="AQ44" s="1381"/>
      <c r="AR44" s="21"/>
    </row>
    <row r="45" spans="2:44" ht="15.95" customHeight="1" thickBot="1">
      <c r="B45" s="21"/>
      <c r="C45" s="1371"/>
      <c r="D45" s="1372"/>
      <c r="E45" s="1372"/>
      <c r="F45" s="1373"/>
      <c r="G45" s="1393"/>
      <c r="H45" s="1393"/>
      <c r="I45" s="1393"/>
      <c r="J45" s="1393"/>
      <c r="K45" s="1393"/>
      <c r="L45" s="1393"/>
      <c r="M45" s="1393"/>
      <c r="N45" s="1393"/>
      <c r="O45" s="1393"/>
      <c r="P45" s="112"/>
      <c r="Q45" s="1374" t="s">
        <v>188</v>
      </c>
      <c r="R45" s="1374"/>
      <c r="S45" s="1374"/>
      <c r="T45" s="1374"/>
      <c r="U45" s="1375" t="str">
        <f>PROPER(N05S01F04)</f>
        <v/>
      </c>
      <c r="V45" s="1375"/>
      <c r="W45" s="1375"/>
      <c r="X45" s="1375"/>
      <c r="Y45" s="1375"/>
      <c r="Z45" s="1375" t="str">
        <f>N05S01F05</f>
        <v/>
      </c>
      <c r="AA45" s="1375"/>
      <c r="AB45" s="1421" t="str">
        <f>N05S01F06</f>
        <v/>
      </c>
      <c r="AC45" s="1421"/>
      <c r="AE45" s="1376"/>
      <c r="AF45" s="1377"/>
      <c r="AG45" s="1377"/>
      <c r="AH45" s="1378"/>
      <c r="AI45" s="1379"/>
      <c r="AJ45" s="1380"/>
      <c r="AK45" s="1380"/>
      <c r="AL45" s="1380"/>
      <c r="AM45" s="1380"/>
      <c r="AN45" s="1380"/>
      <c r="AO45" s="1380"/>
      <c r="AP45" s="1380"/>
      <c r="AQ45" s="1381"/>
      <c r="AR45" s="21"/>
    </row>
    <row r="46" spans="2:44" ht="15.95" customHeight="1" thickBot="1">
      <c r="B46" s="21"/>
      <c r="C46" s="1371" t="s">
        <v>1771</v>
      </c>
      <c r="D46" s="1372"/>
      <c r="E46" s="1372"/>
      <c r="F46" s="1373"/>
      <c r="G46" s="1393">
        <f>N02S03F33</f>
        <v>0</v>
      </c>
      <c r="H46" s="1393"/>
      <c r="I46" s="1393"/>
      <c r="J46" s="1393"/>
      <c r="K46" s="1393"/>
      <c r="L46" s="1393"/>
      <c r="M46" s="1393"/>
      <c r="N46" s="1393"/>
      <c r="O46" s="1393"/>
      <c r="P46" s="112"/>
      <c r="Q46" s="1374" t="s">
        <v>1282</v>
      </c>
      <c r="R46" s="1374"/>
      <c r="S46" s="1374"/>
      <c r="T46" s="1374"/>
      <c r="U46" s="1394">
        <f>N05S01F12</f>
        <v>0</v>
      </c>
      <c r="V46" s="1395"/>
      <c r="W46" s="1395"/>
      <c r="X46" s="1395"/>
      <c r="Y46" s="1396"/>
      <c r="Z46" s="1394" t="str">
        <f>CONCATENATE(N05S01F13,"-",N05S01F14)</f>
        <v>-</v>
      </c>
      <c r="AA46" s="1395"/>
      <c r="AB46" s="1395"/>
      <c r="AC46" s="1396"/>
      <c r="AE46" s="1376" t="s">
        <v>1216</v>
      </c>
      <c r="AF46" s="1377"/>
      <c r="AG46" s="1377"/>
      <c r="AH46" s="1378"/>
      <c r="AI46" s="1390">
        <f ca="1">SUMIF(EXPORT_N!AX3:AX346,"=Deemed",EXPORT_N!AE3:AE346)+SUMIF(EXPORT_N!AX3:AX346,"=Calculated",EXPORT_N!AF3:AF346)</f>
        <v>0</v>
      </c>
      <c r="AJ46" s="1391"/>
      <c r="AK46" s="1391"/>
      <c r="AL46" s="1391"/>
      <c r="AM46" s="1391"/>
      <c r="AN46" s="1391"/>
      <c r="AO46" s="1391"/>
      <c r="AP46" s="1391"/>
      <c r="AQ46" s="1392"/>
      <c r="AR46" s="21"/>
    </row>
    <row r="47" spans="2:44" ht="15.95" customHeight="1" thickBot="1">
      <c r="B47" s="21"/>
      <c r="C47" s="1371" t="s">
        <v>1769</v>
      </c>
      <c r="D47" s="1372"/>
      <c r="E47" s="1372"/>
      <c r="F47" s="1373"/>
      <c r="G47" s="1393">
        <f>N02S03F32</f>
        <v>0</v>
      </c>
      <c r="H47" s="1393"/>
      <c r="I47" s="1393"/>
      <c r="J47" s="1393"/>
      <c r="K47" s="1393"/>
      <c r="L47" s="1393"/>
      <c r="M47" s="1393"/>
      <c r="N47" s="1393"/>
      <c r="O47" s="1393"/>
      <c r="P47" s="112"/>
      <c r="Q47" s="1374" t="s">
        <v>1275</v>
      </c>
      <c r="R47" s="1374"/>
      <c r="S47" s="1374"/>
      <c r="T47" s="1374"/>
      <c r="U47" s="1375" t="str">
        <f>N05S01F11</f>
        <v/>
      </c>
      <c r="V47" s="1375"/>
      <c r="W47" s="1375"/>
      <c r="X47" s="1375"/>
      <c r="Y47" s="1375"/>
      <c r="Z47" s="1375"/>
      <c r="AA47" s="1375"/>
      <c r="AB47" s="1375"/>
      <c r="AC47" s="1375"/>
      <c r="AD47" s="21"/>
      <c r="AE47" s="1376" t="s">
        <v>1217</v>
      </c>
      <c r="AF47" s="1377"/>
      <c r="AG47" s="1377"/>
      <c r="AH47" s="1378"/>
      <c r="AI47" s="1398">
        <f>SUMIF(EXPORT_N!AT3:AT346,"=Deemed",EXPORT_N!AE3:AE346)+SUMIF(EXPORT_N!AT3:AT346,"=Calculated",EXPORT_N!AF3:AF346)</f>
        <v>0</v>
      </c>
      <c r="AJ47" s="1398"/>
      <c r="AK47" s="1398"/>
      <c r="AL47" s="1398"/>
      <c r="AM47" s="1398"/>
      <c r="AN47" s="1398"/>
      <c r="AO47" s="1398"/>
      <c r="AP47" s="1398"/>
      <c r="AQ47" s="1398"/>
      <c r="AR47" s="21"/>
    </row>
    <row r="48" spans="2:44" ht="15.95" customHeight="1" thickBot="1">
      <c r="B48" s="21"/>
      <c r="C48" s="1407" t="s">
        <v>1766</v>
      </c>
      <c r="D48" s="1407"/>
      <c r="E48" s="1407"/>
      <c r="F48" s="1407"/>
      <c r="G48" s="1393">
        <f>N02S03F34</f>
        <v>0</v>
      </c>
      <c r="H48" s="1393"/>
      <c r="I48" s="1393"/>
      <c r="J48" s="1393"/>
      <c r="K48" s="1393"/>
      <c r="L48" s="1393"/>
      <c r="M48" s="1393"/>
      <c r="N48" s="1393"/>
      <c r="O48" s="1393"/>
      <c r="Q48" s="1374"/>
      <c r="R48" s="1374"/>
      <c r="S48" s="1374"/>
      <c r="T48" s="1374"/>
      <c r="U48" s="1375"/>
      <c r="V48" s="1375"/>
      <c r="W48" s="1375"/>
      <c r="X48" s="1375"/>
      <c r="Y48" s="1375"/>
      <c r="Z48" s="1375"/>
      <c r="AA48" s="1375"/>
      <c r="AB48" s="1375"/>
      <c r="AC48" s="1375"/>
      <c r="AE48" s="1376" t="s">
        <v>1218</v>
      </c>
      <c r="AF48" s="1377"/>
      <c r="AG48" s="1377"/>
      <c r="AH48" s="1378"/>
      <c r="AI48" s="1388">
        <f ca="1">SUM(EXPORT_N!AD3:AD346)</f>
        <v>0</v>
      </c>
      <c r="AJ48" s="1388"/>
      <c r="AK48" s="1388"/>
      <c r="AL48" s="1388"/>
      <c r="AM48" s="1388"/>
      <c r="AN48" s="1388"/>
      <c r="AO48" s="1388"/>
      <c r="AP48" s="1388"/>
      <c r="AQ48" s="1388"/>
      <c r="AR48" s="21"/>
    </row>
    <row r="49" spans="2:44" ht="15.95" customHeight="1" thickBot="1">
      <c r="B49" s="21"/>
      <c r="C49" s="1371" t="s">
        <v>1768</v>
      </c>
      <c r="D49" s="1372"/>
      <c r="E49" s="1372"/>
      <c r="F49" s="1373"/>
      <c r="G49" s="1393" t="str">
        <f>IF(N02S03F35="","N/A",N02S03F35)</f>
        <v>N/A</v>
      </c>
      <c r="H49" s="1393"/>
      <c r="I49" s="1393"/>
      <c r="J49" s="1393"/>
      <c r="K49" s="1393"/>
      <c r="L49" s="1393"/>
      <c r="M49" s="1393"/>
      <c r="N49" s="1393"/>
      <c r="O49" s="1393"/>
      <c r="Q49" s="1374"/>
      <c r="R49" s="1374"/>
      <c r="S49" s="1374"/>
      <c r="T49" s="1374"/>
      <c r="U49" s="1375"/>
      <c r="V49" s="1375"/>
      <c r="W49" s="1375"/>
      <c r="X49" s="1375"/>
      <c r="Y49" s="1375"/>
      <c r="Z49" s="1375"/>
      <c r="AA49" s="1375"/>
      <c r="AB49" s="1375"/>
      <c r="AC49" s="1375"/>
      <c r="AE49" s="1376" t="s">
        <v>991</v>
      </c>
      <c r="AF49" s="1377"/>
      <c r="AG49" s="1377"/>
      <c r="AH49" s="1378"/>
      <c r="AI49" s="1379">
        <f ca="1">SUM(EXPORT_N!Y3:Y346)</f>
        <v>0</v>
      </c>
      <c r="AJ49" s="1380"/>
      <c r="AK49" s="1380"/>
      <c r="AL49" s="1380"/>
      <c r="AM49" s="1380"/>
      <c r="AN49" s="1380"/>
      <c r="AO49" s="1380"/>
      <c r="AP49" s="1380"/>
      <c r="AQ49" s="1381"/>
      <c r="AR49" s="21"/>
    </row>
    <row r="50" spans="2:44" ht="15.95" customHeight="1" thickBot="1">
      <c r="B50" s="21"/>
      <c r="C50" s="1371" t="s">
        <v>1479</v>
      </c>
      <c r="D50" s="1372"/>
      <c r="E50" s="1372"/>
      <c r="F50" s="1372"/>
      <c r="G50" s="1368" t="e" cm="1">
        <f t="array" ref="G50">CODE_CITY</f>
        <v>#N/A</v>
      </c>
      <c r="H50" s="1369"/>
      <c r="I50" s="1369"/>
      <c r="J50" s="1369"/>
      <c r="K50" s="1369"/>
      <c r="L50" s="1369"/>
      <c r="M50" s="1369"/>
      <c r="N50" s="1369"/>
      <c r="O50" s="1370"/>
      <c r="Q50" s="1374"/>
      <c r="R50" s="1374"/>
      <c r="S50" s="1374"/>
      <c r="T50" s="1374"/>
      <c r="U50" s="1375"/>
      <c r="V50" s="1375"/>
      <c r="W50" s="1375"/>
      <c r="X50" s="1375"/>
      <c r="Y50" s="1375"/>
      <c r="Z50" s="1375"/>
      <c r="AA50" s="1375"/>
      <c r="AB50" s="1375"/>
      <c r="AC50" s="1375"/>
      <c r="AE50" s="1376" t="s">
        <v>1788</v>
      </c>
      <c r="AF50" s="1377"/>
      <c r="AG50" s="1377"/>
      <c r="AH50" s="1378"/>
      <c r="AI50" s="1379">
        <f ca="1">SUM(EXPORT_N!AB3:AB346)</f>
        <v>0</v>
      </c>
      <c r="AJ50" s="1380"/>
      <c r="AK50" s="1380"/>
      <c r="AL50" s="1380"/>
      <c r="AM50" s="1380"/>
      <c r="AN50" s="1380"/>
      <c r="AO50" s="1380"/>
      <c r="AP50" s="1380"/>
      <c r="AQ50" s="1381"/>
      <c r="AR50" s="21"/>
    </row>
    <row r="51" spans="2:44" ht="15.95" customHeight="1" thickBot="1">
      <c r="B51" s="21"/>
      <c r="C51" s="1371" t="s">
        <v>1480</v>
      </c>
      <c r="D51" s="1372"/>
      <c r="E51" s="1372"/>
      <c r="F51" s="1373"/>
      <c r="G51" s="1368" t="e" cm="1">
        <f t="array" aca="1" ref="G51" ca="1">CODE_COUNTY</f>
        <v>#N/A</v>
      </c>
      <c r="H51" s="1369"/>
      <c r="I51" s="1369"/>
      <c r="J51" s="1369"/>
      <c r="K51" s="1369"/>
      <c r="L51" s="1369"/>
      <c r="M51" s="1369"/>
      <c r="N51" s="1369"/>
      <c r="O51" s="1370"/>
      <c r="Q51" s="1374"/>
      <c r="R51" s="1374"/>
      <c r="S51" s="1374"/>
      <c r="T51" s="1374"/>
      <c r="U51" s="1375"/>
      <c r="V51" s="1375"/>
      <c r="W51" s="1375"/>
      <c r="X51" s="1375"/>
      <c r="Y51" s="1375"/>
      <c r="Z51" s="1375"/>
      <c r="AA51" s="1375"/>
      <c r="AB51" s="1375"/>
      <c r="AC51" s="1375"/>
      <c r="AE51" s="1376"/>
      <c r="AF51" s="1377"/>
      <c r="AG51" s="1377"/>
      <c r="AH51" s="1378"/>
      <c r="AI51" s="1379"/>
      <c r="AJ51" s="1380"/>
      <c r="AK51" s="1380"/>
      <c r="AL51" s="1380"/>
      <c r="AM51" s="1380"/>
      <c r="AN51" s="1380"/>
      <c r="AO51" s="1380"/>
      <c r="AP51" s="1380"/>
      <c r="AQ51" s="1381"/>
      <c r="AR51" s="21"/>
    </row>
    <row r="52" spans="2:44" ht="15.95" customHeight="1" thickBot="1">
      <c r="B52" s="21"/>
      <c r="AE52" s="1376"/>
      <c r="AF52" s="1377"/>
      <c r="AG52" s="1377"/>
      <c r="AH52" s="1378"/>
      <c r="AI52" s="1385" t="s">
        <v>20</v>
      </c>
      <c r="AJ52" s="1385"/>
      <c r="AK52" s="1385"/>
      <c r="AL52" s="1386" t="s">
        <v>817</v>
      </c>
      <c r="AM52" s="1386"/>
      <c r="AN52" s="1386"/>
      <c r="AO52" s="1399" t="s">
        <v>818</v>
      </c>
      <c r="AP52" s="1399"/>
      <c r="AQ52" s="1399"/>
      <c r="AR52" s="21"/>
    </row>
    <row r="53" spans="2:44" ht="15.95" customHeight="1" thickBot="1">
      <c r="B53" s="21"/>
      <c r="C53" s="1383" t="s">
        <v>189</v>
      </c>
      <c r="D53" s="1384"/>
      <c r="E53" s="1384"/>
      <c r="F53" s="1384"/>
      <c r="G53" s="1384"/>
      <c r="H53" s="1384"/>
      <c r="I53" s="1384"/>
      <c r="J53" s="1384"/>
      <c r="K53" s="1384"/>
      <c r="L53" s="1384"/>
      <c r="M53" s="1384"/>
      <c r="N53" s="1384"/>
      <c r="O53" s="1384"/>
      <c r="P53" s="1384"/>
      <c r="Q53" s="1384"/>
      <c r="R53" s="1384"/>
      <c r="S53" s="1384"/>
      <c r="T53" s="1384"/>
      <c r="U53" s="1384"/>
      <c r="V53" s="1384"/>
      <c r="W53" s="1384"/>
      <c r="X53" s="1384"/>
      <c r="Y53" s="1384"/>
      <c r="Z53" s="1384"/>
      <c r="AA53" s="1384"/>
      <c r="AB53" s="1384"/>
      <c r="AC53" s="1384"/>
      <c r="AE53" s="1376" t="s">
        <v>741</v>
      </c>
      <c r="AF53" s="1377"/>
      <c r="AG53" s="1377"/>
      <c r="AH53" s="1378"/>
      <c r="AI53" s="1385">
        <f>INCENTOTALLIGHT_N</f>
        <v>0</v>
      </c>
      <c r="AJ53" s="1385"/>
      <c r="AK53" s="1385"/>
      <c r="AL53" s="1401">
        <f>KWHTOTALLIGHT_N</f>
        <v>0</v>
      </c>
      <c r="AM53" s="1401"/>
      <c r="AN53" s="1401"/>
      <c r="AO53" s="1400">
        <f>KWTOTALLIGHT_N</f>
        <v>0</v>
      </c>
      <c r="AP53" s="1400"/>
      <c r="AQ53" s="1400"/>
      <c r="AR53" s="21"/>
    </row>
    <row r="54" spans="2:44" ht="15.95" customHeight="1" thickBot="1">
      <c r="B54" s="21"/>
      <c r="C54" s="1382">
        <f>N02S03F36</f>
        <v>0</v>
      </c>
      <c r="D54" s="1382"/>
      <c r="E54" s="1382"/>
      <c r="F54" s="1382"/>
      <c r="G54" s="1382"/>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E54" s="1376" t="s">
        <v>849</v>
      </c>
      <c r="AF54" s="1377"/>
      <c r="AG54" s="1377"/>
      <c r="AH54" s="1378"/>
      <c r="AI54" s="1385">
        <f>INCENTOTALSTD_N</f>
        <v>0</v>
      </c>
      <c r="AJ54" s="1385"/>
      <c r="AK54" s="1385"/>
      <c r="AL54" s="1401">
        <f>KWHTOTALSTD_N</f>
        <v>0</v>
      </c>
      <c r="AM54" s="1401"/>
      <c r="AN54" s="1401"/>
      <c r="AO54" s="1400">
        <f>KWTOTALSTD_N</f>
        <v>0</v>
      </c>
      <c r="AP54" s="1400"/>
      <c r="AQ54" s="1400"/>
      <c r="AR54" s="21"/>
    </row>
    <row r="55" spans="2:44" ht="15.95" customHeight="1" thickBot="1">
      <c r="B55" s="21"/>
      <c r="C55" s="1382"/>
      <c r="D55" s="1382"/>
      <c r="E55" s="1382"/>
      <c r="F55" s="1382"/>
      <c r="G55" s="1382"/>
      <c r="H55" s="1382"/>
      <c r="I55" s="1382"/>
      <c r="J55" s="1382"/>
      <c r="K55" s="1382"/>
      <c r="L55" s="1382"/>
      <c r="M55" s="1382"/>
      <c r="N55" s="1382"/>
      <c r="O55" s="1382"/>
      <c r="P55" s="1382"/>
      <c r="Q55" s="1382"/>
      <c r="R55" s="1382"/>
      <c r="S55" s="1382"/>
      <c r="T55" s="1382"/>
      <c r="U55" s="1382"/>
      <c r="V55" s="1382"/>
      <c r="W55" s="1382"/>
      <c r="X55" s="1382"/>
      <c r="Y55" s="1382"/>
      <c r="Z55" s="1382"/>
      <c r="AA55" s="1382"/>
      <c r="AB55" s="1382"/>
      <c r="AC55" s="1382"/>
      <c r="AE55" s="1376" t="s">
        <v>50</v>
      </c>
      <c r="AF55" s="1377"/>
      <c r="AG55" s="1377"/>
      <c r="AH55" s="1378"/>
      <c r="AI55" s="1385">
        <f>INCENTOTALCUST_N</f>
        <v>0</v>
      </c>
      <c r="AJ55" s="1385"/>
      <c r="AK55" s="1385"/>
      <c r="AL55" s="1401">
        <f>KWHTOTALCUST_N</f>
        <v>0</v>
      </c>
      <c r="AM55" s="1401"/>
      <c r="AN55" s="1401"/>
      <c r="AO55" s="1400">
        <f>KWTOTALCUST_N</f>
        <v>0</v>
      </c>
      <c r="AP55" s="1400"/>
      <c r="AQ55" s="1400"/>
      <c r="AR55" s="21"/>
    </row>
    <row r="56" spans="2:44" ht="15.95" customHeight="1" thickBot="1">
      <c r="B56" s="21"/>
      <c r="C56" s="1382"/>
      <c r="D56" s="1382"/>
      <c r="E56" s="1382"/>
      <c r="F56" s="1382"/>
      <c r="G56" s="1382"/>
      <c r="H56" s="1382"/>
      <c r="I56" s="1382"/>
      <c r="J56" s="1382"/>
      <c r="K56" s="1382"/>
      <c r="L56" s="1382"/>
      <c r="M56" s="1382"/>
      <c r="N56" s="1382"/>
      <c r="O56" s="1382"/>
      <c r="P56" s="1382"/>
      <c r="Q56" s="1382"/>
      <c r="R56" s="1382"/>
      <c r="S56" s="1382"/>
      <c r="T56" s="1382"/>
      <c r="U56" s="1382"/>
      <c r="V56" s="1382"/>
      <c r="W56" s="1382"/>
      <c r="X56" s="1382"/>
      <c r="Y56" s="1382"/>
      <c r="Z56" s="1382"/>
      <c r="AA56" s="1382"/>
      <c r="AB56" s="1382"/>
      <c r="AC56" s="1382"/>
      <c r="AE56" s="1376" t="s">
        <v>1812</v>
      </c>
      <c r="AF56" s="1377"/>
      <c r="AG56" s="1377"/>
      <c r="AH56" s="1378"/>
      <c r="AI56" s="1385">
        <f>INCENTOTALWBP_N</f>
        <v>0</v>
      </c>
      <c r="AJ56" s="1385"/>
      <c r="AK56" s="1385"/>
      <c r="AL56" s="1386" t="str">
        <f>'N04-S09'!AY18</f>
        <v/>
      </c>
      <c r="AM56" s="1386"/>
      <c r="AN56" s="1386"/>
      <c r="AO56" s="1400" t="str">
        <f>'N04-S09'!AZ18</f>
        <v/>
      </c>
      <c r="AP56" s="1400"/>
      <c r="AQ56" s="1400"/>
      <c r="AR56" s="21"/>
    </row>
    <row r="57" spans="2:44" ht="15.95" customHeight="1" thickBot="1">
      <c r="B57" s="21"/>
      <c r="C57" s="1382"/>
      <c r="D57" s="1382"/>
      <c r="E57" s="1382"/>
      <c r="F57" s="1382"/>
      <c r="G57" s="1382"/>
      <c r="H57" s="1382"/>
      <c r="I57" s="1382"/>
      <c r="J57" s="1382"/>
      <c r="K57" s="1382"/>
      <c r="L57" s="1382"/>
      <c r="M57" s="1382"/>
      <c r="N57" s="1382"/>
      <c r="O57" s="1382"/>
      <c r="P57" s="1382"/>
      <c r="Q57" s="1382"/>
      <c r="R57" s="1382"/>
      <c r="S57" s="1382"/>
      <c r="T57" s="1382"/>
      <c r="U57" s="1382"/>
      <c r="V57" s="1382"/>
      <c r="W57" s="1382"/>
      <c r="X57" s="1382"/>
      <c r="Y57" s="1382"/>
      <c r="Z57" s="1382"/>
      <c r="AA57" s="1382"/>
      <c r="AB57" s="1382"/>
      <c r="AC57" s="1382"/>
      <c r="AE57" s="1376"/>
      <c r="AF57" s="1377"/>
      <c r="AG57" s="1377"/>
      <c r="AH57" s="1378"/>
      <c r="AI57" s="1379"/>
      <c r="AJ57" s="1380"/>
      <c r="AK57" s="1380"/>
      <c r="AL57" s="1380"/>
      <c r="AM57" s="1380"/>
      <c r="AN57" s="1380"/>
      <c r="AO57" s="1380"/>
      <c r="AP57" s="1380"/>
      <c r="AQ57" s="1381"/>
      <c r="AR57" s="21"/>
    </row>
    <row r="58" spans="2:44" ht="15.95" customHeight="1" thickBot="1">
      <c r="B58" s="21"/>
      <c r="C58" s="1382"/>
      <c r="D58" s="1382"/>
      <c r="E58" s="1382"/>
      <c r="F58" s="1382"/>
      <c r="G58" s="1382"/>
      <c r="H58" s="1382"/>
      <c r="I58" s="1382"/>
      <c r="J58" s="1382"/>
      <c r="K58" s="1382"/>
      <c r="L58" s="1382"/>
      <c r="M58" s="1382"/>
      <c r="N58" s="1382"/>
      <c r="O58" s="1382"/>
      <c r="P58" s="1382"/>
      <c r="Q58" s="1382"/>
      <c r="R58" s="1382"/>
      <c r="S58" s="1382"/>
      <c r="T58" s="1382"/>
      <c r="U58" s="1382"/>
      <c r="V58" s="1382"/>
      <c r="W58" s="1382"/>
      <c r="X58" s="1382"/>
      <c r="Y58" s="1382"/>
      <c r="Z58" s="1382"/>
      <c r="AA58" s="1382"/>
      <c r="AB58" s="1382"/>
      <c r="AC58" s="1382"/>
      <c r="AE58" s="1376" t="s">
        <v>1811</v>
      </c>
      <c r="AF58" s="1377"/>
      <c r="AG58" s="1377"/>
      <c r="AH58" s="1378"/>
      <c r="AI58" s="1385">
        <f>IFERROR(IF(OR(N05S07F04="Final",ACTIVECOMPL_N="Yes"),0,KWHTOTALPROV_N*0.09),0)</f>
        <v>0</v>
      </c>
      <c r="AJ58" s="1385"/>
      <c r="AK58" s="1385"/>
      <c r="AL58" s="1386">
        <f>IFERROR(IF(OR(N05S07F04="Final",ACTIVECOMPL_N="Yes"),0,MAX((N02S03F31*INDEX(LPDWATT[CBECS 2012 Midwest Electricity Energy Intensity (kWh/sq ft)],MATCH(N02S03F34,LPDWATT[Building Area Type],0))*0.05)-SUM(AL53:AN56),0)),0)</f>
        <v>0</v>
      </c>
      <c r="AM58" s="1386"/>
      <c r="AN58" s="1386"/>
      <c r="AO58" s="1387">
        <f>IFERROR(MAX((KWHTOTALPROV_N*INDEX(ENDUSEALL[Factor],MATCH("Interior Lighting",ENDUSEALL[End Use to Coincident Peak Demand Factors],0)))-SUM(AO53:AQ56),0),0)</f>
        <v>0</v>
      </c>
      <c r="AP58" s="1387"/>
      <c r="AQ58" s="1387"/>
      <c r="AR58" s="21"/>
    </row>
    <row r="59" spans="2:44" ht="15.95" customHeight="1">
      <c r="B59" s="21"/>
      <c r="C59" s="1382"/>
      <c r="D59" s="1382"/>
      <c r="E59" s="1382"/>
      <c r="F59" s="1382"/>
      <c r="G59" s="1382"/>
      <c r="H59" s="1382"/>
      <c r="I59" s="1382"/>
      <c r="J59" s="1382"/>
      <c r="K59" s="1382"/>
      <c r="L59" s="1382"/>
      <c r="M59" s="1382"/>
      <c r="N59" s="1382"/>
      <c r="O59" s="1382"/>
      <c r="P59" s="1382"/>
      <c r="Q59" s="1382"/>
      <c r="R59" s="1382"/>
      <c r="S59" s="1382"/>
      <c r="T59" s="1382"/>
      <c r="U59" s="1382"/>
      <c r="V59" s="1382"/>
      <c r="W59" s="1382"/>
      <c r="X59" s="1382"/>
      <c r="Y59" s="1382"/>
      <c r="Z59" s="1382"/>
      <c r="AA59" s="1382"/>
      <c r="AB59" s="1382"/>
      <c r="AC59" s="1382"/>
      <c r="AR59" s="21"/>
    </row>
    <row r="60" spans="2:44" ht="15.95" customHeight="1">
      <c r="B60" s="21"/>
      <c r="AR60" s="21"/>
    </row>
    <row r="61" spans="2:44" ht="15.95" hidden="1" customHeight="1">
      <c r="B61" s="21"/>
      <c r="AR61" s="21"/>
    </row>
    <row r="62" spans="2:44" ht="15.95" hidden="1" customHeight="1">
      <c r="B62" s="21"/>
      <c r="AR62" s="21"/>
    </row>
    <row r="63" spans="2:44" ht="15.95" hidden="1" customHeight="1">
      <c r="B63" s="21"/>
      <c r="AR63" s="21"/>
    </row>
    <row r="64" spans="2:44" ht="15.95" hidden="1" customHeight="1">
      <c r="B64" s="21"/>
      <c r="AR64" s="21"/>
    </row>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2.7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28"/>
      <c r="B200" s="229" t="str">
        <f>FOOT1</f>
        <v>Evergy Business Energy Savings Program</v>
      </c>
      <c r="C200" s="229"/>
      <c r="D200" s="229"/>
      <c r="E200" s="229"/>
      <c r="F200" s="229"/>
      <c r="G200" s="229"/>
      <c r="H200" s="229"/>
      <c r="I200" s="229"/>
      <c r="J200" s="229"/>
      <c r="K200" s="229"/>
      <c r="L200" s="229"/>
      <c r="M200" s="615" t="str">
        <f>FOOTDISCLAIM_N</f>
        <v/>
      </c>
      <c r="N200" s="615"/>
      <c r="O200" s="615"/>
      <c r="P200" s="615"/>
      <c r="Q200" s="615"/>
      <c r="R200" s="615"/>
      <c r="S200" s="615"/>
      <c r="T200" s="615"/>
      <c r="U200" s="615"/>
      <c r="V200" s="615"/>
      <c r="W200" s="615"/>
      <c r="X200" s="615"/>
      <c r="Y200" s="615"/>
      <c r="Z200" s="615"/>
      <c r="AA200" s="615"/>
      <c r="AB200" s="615"/>
      <c r="AC200" s="615"/>
      <c r="AD200" s="615"/>
      <c r="AE200" s="615"/>
      <c r="AF200" s="615"/>
      <c r="AG200" s="615"/>
      <c r="AH200" s="229"/>
      <c r="AI200" s="229"/>
      <c r="AJ200" s="229"/>
      <c r="AK200" s="229"/>
      <c r="AL200" s="229"/>
      <c r="AM200" s="229"/>
      <c r="AN200" s="229"/>
      <c r="AO200" s="229"/>
      <c r="AP200" s="229"/>
      <c r="AQ200" s="229"/>
      <c r="AR200" s="246" t="str">
        <f>FOOT4</f>
        <v/>
      </c>
      <c r="AS200" s="228"/>
      <c r="AT200" s="228"/>
      <c r="AU200" s="228"/>
      <c r="AV200" s="228"/>
      <c r="AW200" s="228"/>
    </row>
    <row r="201" spans="1:49" ht="15.95" customHeight="1">
      <c r="A201" s="228"/>
      <c r="B201" s="229" t="str">
        <f>FOOT2</f>
        <v>(844)687-0229</v>
      </c>
      <c r="C201" s="229"/>
      <c r="D201" s="229"/>
      <c r="E201" s="229"/>
      <c r="F201" s="229"/>
      <c r="G201" s="229"/>
      <c r="H201" s="229"/>
      <c r="I201" s="229"/>
      <c r="J201" s="229"/>
      <c r="K201" s="229"/>
      <c r="L201" s="229"/>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229"/>
      <c r="AI201" s="229"/>
      <c r="AJ201" s="229"/>
      <c r="AK201" s="229"/>
      <c r="AL201" s="229"/>
      <c r="AM201" s="229"/>
      <c r="AN201" s="229"/>
      <c r="AO201" s="229"/>
      <c r="AP201" s="229"/>
      <c r="AQ201" s="229"/>
      <c r="AR201" s="247" t="str">
        <f>FOOT5</f>
        <v/>
      </c>
      <c r="AS201" s="228"/>
      <c r="AT201" s="228"/>
      <c r="AU201" s="228"/>
      <c r="AV201" s="228"/>
      <c r="AW201" s="228"/>
    </row>
    <row r="202" spans="1:49" ht="15.95" customHeight="1">
      <c r="A202" s="228"/>
      <c r="B202" s="229" t="str">
        <f>FOOT3</f>
        <v>businessrebates@evergy.com</v>
      </c>
      <c r="C202" s="229"/>
      <c r="D202" s="229"/>
      <c r="E202" s="229"/>
      <c r="F202" s="229"/>
      <c r="G202" s="229"/>
      <c r="H202" s="229"/>
      <c r="I202" s="229"/>
      <c r="J202" s="229"/>
      <c r="K202" s="229"/>
      <c r="L202" s="229"/>
      <c r="M202" s="231"/>
      <c r="N202" s="229"/>
      <c r="O202" s="229"/>
      <c r="P202" s="231"/>
      <c r="Q202" s="231"/>
      <c r="R202" s="231"/>
      <c r="S202" s="231"/>
      <c r="T202" s="231"/>
      <c r="U202" s="231"/>
      <c r="V202" s="231"/>
      <c r="W202" s="232" t="str">
        <f>CONCATENATE("New Construction ",VERSION)</f>
        <v>New Construction v3.0.0</v>
      </c>
      <c r="X202" s="231"/>
      <c r="Y202" s="231"/>
      <c r="Z202" s="231"/>
      <c r="AA202" s="231"/>
      <c r="AB202" s="231"/>
      <c r="AC202" s="231"/>
      <c r="AD202" s="231"/>
      <c r="AE202" s="229"/>
      <c r="AF202" s="229"/>
      <c r="AG202" s="229"/>
      <c r="AH202" s="229"/>
      <c r="AI202" s="229"/>
      <c r="AJ202" s="229"/>
      <c r="AK202" s="229"/>
      <c r="AL202" s="229"/>
      <c r="AM202" s="229"/>
      <c r="AN202" s="229"/>
      <c r="AO202" s="229"/>
      <c r="AP202" s="229"/>
      <c r="AQ202" s="229"/>
      <c r="AR202" s="248" t="str">
        <f>FOOT6</f>
        <v>This is a TRC tool</v>
      </c>
      <c r="AS202" s="228"/>
      <c r="AT202" s="228"/>
      <c r="AU202" s="228"/>
      <c r="AV202" s="228"/>
      <c r="AW202" s="228"/>
    </row>
  </sheetData>
  <sheetProtection algorithmName="SHA-512" hashValue="P46jtTSxRSPF8HL0sFihppRr1bw3/2qsf0Kbn73E639YTCQZO8CfPGqrFVQHwlq2lgq/SWHSlKUQ3gWTOrpEKQ==" saltValue="3s59l93tnUaxAFLk3ylAUg==" spinCount="100000" sheet="1" objects="1" scenarios="1"/>
  <mergeCells count="268">
    <mergeCell ref="F1:I3"/>
    <mergeCell ref="J1:M3"/>
    <mergeCell ref="O1:AE3"/>
    <mergeCell ref="AL1:AO3"/>
    <mergeCell ref="AP1:AS3"/>
    <mergeCell ref="AT1:AW3"/>
    <mergeCell ref="C50:F50"/>
    <mergeCell ref="C40:F40"/>
    <mergeCell ref="G40:O40"/>
    <mergeCell ref="C14:L14"/>
    <mergeCell ref="N14:U14"/>
    <mergeCell ref="W14:AF14"/>
    <mergeCell ref="AH27:AK27"/>
    <mergeCell ref="AL27:AQ27"/>
    <mergeCell ref="N19:Q19"/>
    <mergeCell ref="AQ8:AU8"/>
    <mergeCell ref="A5:E6"/>
    <mergeCell ref="AQ5:AU6"/>
    <mergeCell ref="A7:E7"/>
    <mergeCell ref="AQ7:AU7"/>
    <mergeCell ref="C10:C11"/>
    <mergeCell ref="D10:R12"/>
    <mergeCell ref="S9:AA10"/>
    <mergeCell ref="D9:R9"/>
    <mergeCell ref="Q51:T51"/>
    <mergeCell ref="U51:AC51"/>
    <mergeCell ref="G23:I23"/>
    <mergeCell ref="G24:I24"/>
    <mergeCell ref="G25:I25"/>
    <mergeCell ref="C45:F45"/>
    <mergeCell ref="G45:O45"/>
    <mergeCell ref="Q29:AC29"/>
    <mergeCell ref="Q48:T48"/>
    <mergeCell ref="U48:AC48"/>
    <mergeCell ref="Q49:T49"/>
    <mergeCell ref="U49:AC49"/>
    <mergeCell ref="Q50:T50"/>
    <mergeCell ref="U50:AC50"/>
    <mergeCell ref="C49:F49"/>
    <mergeCell ref="G49:O49"/>
    <mergeCell ref="C33:F33"/>
    <mergeCell ref="G33:O33"/>
    <mergeCell ref="C27:F27"/>
    <mergeCell ref="G27:L27"/>
    <mergeCell ref="C48:F48"/>
    <mergeCell ref="Q42:T42"/>
    <mergeCell ref="C43:F43"/>
    <mergeCell ref="G43:O43"/>
    <mergeCell ref="AH14:AQ14"/>
    <mergeCell ref="C15:F15"/>
    <mergeCell ref="AL17:AQ17"/>
    <mergeCell ref="AL15:AQ15"/>
    <mergeCell ref="C16:F16"/>
    <mergeCell ref="G16:L16"/>
    <mergeCell ref="N16:Q16"/>
    <mergeCell ref="R16:U16"/>
    <mergeCell ref="AH16:AK16"/>
    <mergeCell ref="AL16:AQ16"/>
    <mergeCell ref="G15:L15"/>
    <mergeCell ref="N15:Q15"/>
    <mergeCell ref="R15:U15"/>
    <mergeCell ref="AH19:AK19"/>
    <mergeCell ref="AL19:AQ19"/>
    <mergeCell ref="C18:F18"/>
    <mergeCell ref="G18:L18"/>
    <mergeCell ref="N18:Q18"/>
    <mergeCell ref="R18:U18"/>
    <mergeCell ref="AH18:AK18"/>
    <mergeCell ref="AL18:AQ18"/>
    <mergeCell ref="W15:AF19"/>
    <mergeCell ref="AH15:AK15"/>
    <mergeCell ref="C17:F17"/>
    <mergeCell ref="G17:L17"/>
    <mergeCell ref="N17:Q17"/>
    <mergeCell ref="R17:U17"/>
    <mergeCell ref="AH17:AK17"/>
    <mergeCell ref="C19:F19"/>
    <mergeCell ref="G19:L19"/>
    <mergeCell ref="R19:U19"/>
    <mergeCell ref="C21:F21"/>
    <mergeCell ref="G21:L21"/>
    <mergeCell ref="N21:Q21"/>
    <mergeCell ref="R21:U21"/>
    <mergeCell ref="AH20:AK20"/>
    <mergeCell ref="AL21:AQ21"/>
    <mergeCell ref="C20:F20"/>
    <mergeCell ref="G20:L20"/>
    <mergeCell ref="N20:Q20"/>
    <mergeCell ref="R20:U20"/>
    <mergeCell ref="W21:AF21"/>
    <mergeCell ref="AH21:AK21"/>
    <mergeCell ref="AL20:AQ20"/>
    <mergeCell ref="AL25:AQ25"/>
    <mergeCell ref="J23:L23"/>
    <mergeCell ref="J24:L24"/>
    <mergeCell ref="J25:L25"/>
    <mergeCell ref="AH23:AQ23"/>
    <mergeCell ref="C24:F24"/>
    <mergeCell ref="N23:Q23"/>
    <mergeCell ref="R23:U23"/>
    <mergeCell ref="AH24:AK24"/>
    <mergeCell ref="AL24:AQ24"/>
    <mergeCell ref="C25:F25"/>
    <mergeCell ref="W22:AF26"/>
    <mergeCell ref="C23:F23"/>
    <mergeCell ref="N22:Q22"/>
    <mergeCell ref="R22:U22"/>
    <mergeCell ref="G22:I22"/>
    <mergeCell ref="J22:L22"/>
    <mergeCell ref="R25:U25"/>
    <mergeCell ref="C26:F26"/>
    <mergeCell ref="G26:L26"/>
    <mergeCell ref="N25:Q25"/>
    <mergeCell ref="N24:Q24"/>
    <mergeCell ref="R24:U24"/>
    <mergeCell ref="AE29:AQ29"/>
    <mergeCell ref="C30:F30"/>
    <mergeCell ref="G30:O30"/>
    <mergeCell ref="Q30:T30"/>
    <mergeCell ref="U30:AC30"/>
    <mergeCell ref="AE30:AH30"/>
    <mergeCell ref="AI30:AQ30"/>
    <mergeCell ref="AE31:AH31"/>
    <mergeCell ref="AI31:AM31"/>
    <mergeCell ref="AE33:AH33"/>
    <mergeCell ref="Z31:AC31"/>
    <mergeCell ref="C29:O29"/>
    <mergeCell ref="R26:U26"/>
    <mergeCell ref="C22:F22"/>
    <mergeCell ref="N26:Q26"/>
    <mergeCell ref="AH26:AK26"/>
    <mergeCell ref="AI33:AQ33"/>
    <mergeCell ref="Q33:T33"/>
    <mergeCell ref="U33:AC33"/>
    <mergeCell ref="AN31:AQ31"/>
    <mergeCell ref="C32:F32"/>
    <mergeCell ref="G32:O32"/>
    <mergeCell ref="Q32:T32"/>
    <mergeCell ref="U32:AC32"/>
    <mergeCell ref="AE32:AH32"/>
    <mergeCell ref="AI32:AQ32"/>
    <mergeCell ref="C31:F31"/>
    <mergeCell ref="G31:K31"/>
    <mergeCell ref="L31:O31"/>
    <mergeCell ref="Q31:T31"/>
    <mergeCell ref="U31:Y31"/>
    <mergeCell ref="AL26:AQ26"/>
    <mergeCell ref="AH25:AK25"/>
    <mergeCell ref="U44:AC44"/>
    <mergeCell ref="Q43:T43"/>
    <mergeCell ref="U43:AC43"/>
    <mergeCell ref="G48:O48"/>
    <mergeCell ref="C47:F47"/>
    <mergeCell ref="G47:O47"/>
    <mergeCell ref="G42:J42"/>
    <mergeCell ref="K42:O42"/>
    <mergeCell ref="Z45:AA45"/>
    <mergeCell ref="AB45:AC45"/>
    <mergeCell ref="C35:F35"/>
    <mergeCell ref="G35:O35"/>
    <mergeCell ref="Q35:T35"/>
    <mergeCell ref="U35:AC35"/>
    <mergeCell ref="AE38:AQ38"/>
    <mergeCell ref="C34:F34"/>
    <mergeCell ref="G34:O34"/>
    <mergeCell ref="Q34:T34"/>
    <mergeCell ref="U34:AC34"/>
    <mergeCell ref="AE35:AH35"/>
    <mergeCell ref="AI35:AQ35"/>
    <mergeCell ref="AE34:AH34"/>
    <mergeCell ref="AI34:AQ34"/>
    <mergeCell ref="AE36:AH36"/>
    <mergeCell ref="AI36:AM36"/>
    <mergeCell ref="AN36:AO36"/>
    <mergeCell ref="AP36:AQ36"/>
    <mergeCell ref="C36:F36"/>
    <mergeCell ref="C38:O38"/>
    <mergeCell ref="Q38:AC38"/>
    <mergeCell ref="G36:K36"/>
    <mergeCell ref="L36:M36"/>
    <mergeCell ref="N36:O36"/>
    <mergeCell ref="Q36:T36"/>
    <mergeCell ref="U36:Y36"/>
    <mergeCell ref="Z36:AA36"/>
    <mergeCell ref="AB36:AC36"/>
    <mergeCell ref="Q39:T39"/>
    <mergeCell ref="U39:AC39"/>
    <mergeCell ref="AE39:AH39"/>
    <mergeCell ref="AI39:AQ39"/>
    <mergeCell ref="Q41:T41"/>
    <mergeCell ref="C41:F41"/>
    <mergeCell ref="G41:O41"/>
    <mergeCell ref="AI41:AQ41"/>
    <mergeCell ref="AE40:AH40"/>
    <mergeCell ref="U41:Y41"/>
    <mergeCell ref="Z41:AC41"/>
    <mergeCell ref="AI40:AQ40"/>
    <mergeCell ref="AE41:AH41"/>
    <mergeCell ref="Q40:T40"/>
    <mergeCell ref="U40:AC40"/>
    <mergeCell ref="C39:F39"/>
    <mergeCell ref="G39:O39"/>
    <mergeCell ref="AE56:AH56"/>
    <mergeCell ref="AE53:AH53"/>
    <mergeCell ref="AE54:AH54"/>
    <mergeCell ref="AE55:AH55"/>
    <mergeCell ref="AI52:AK52"/>
    <mergeCell ref="AL52:AN52"/>
    <mergeCell ref="AO52:AQ52"/>
    <mergeCell ref="AE51:AH51"/>
    <mergeCell ref="AI51:AQ51"/>
    <mergeCell ref="AE52:AH52"/>
    <mergeCell ref="AO56:AQ56"/>
    <mergeCell ref="AL55:AN55"/>
    <mergeCell ref="AL56:AN56"/>
    <mergeCell ref="AO53:AQ53"/>
    <mergeCell ref="AO54:AQ54"/>
    <mergeCell ref="AO55:AQ55"/>
    <mergeCell ref="AL53:AN53"/>
    <mergeCell ref="AL54:AN54"/>
    <mergeCell ref="AE48:AH48"/>
    <mergeCell ref="AI48:AQ48"/>
    <mergeCell ref="AE42:AH42"/>
    <mergeCell ref="AI42:AQ42"/>
    <mergeCell ref="AE46:AH46"/>
    <mergeCell ref="AI46:AQ46"/>
    <mergeCell ref="AE43:AH43"/>
    <mergeCell ref="AI43:AQ43"/>
    <mergeCell ref="C44:F44"/>
    <mergeCell ref="G44:O44"/>
    <mergeCell ref="Q45:T45"/>
    <mergeCell ref="U45:Y45"/>
    <mergeCell ref="Q46:T46"/>
    <mergeCell ref="U46:Y46"/>
    <mergeCell ref="Z46:AC46"/>
    <mergeCell ref="AE44:AH44"/>
    <mergeCell ref="AI44:AQ44"/>
    <mergeCell ref="U42:AC42"/>
    <mergeCell ref="C46:F46"/>
    <mergeCell ref="G46:O46"/>
    <mergeCell ref="AE47:AH47"/>
    <mergeCell ref="AI47:AQ47"/>
    <mergeCell ref="C42:F42"/>
    <mergeCell ref="Q44:T44"/>
    <mergeCell ref="G50:O50"/>
    <mergeCell ref="G51:O51"/>
    <mergeCell ref="C51:F51"/>
    <mergeCell ref="Q47:T47"/>
    <mergeCell ref="U47:AC47"/>
    <mergeCell ref="AE45:AH45"/>
    <mergeCell ref="AI45:AQ45"/>
    <mergeCell ref="M200:AG201"/>
    <mergeCell ref="AE49:AH49"/>
    <mergeCell ref="AI49:AQ49"/>
    <mergeCell ref="AE50:AH50"/>
    <mergeCell ref="AI50:AQ50"/>
    <mergeCell ref="AE58:AH58"/>
    <mergeCell ref="AE57:AH57"/>
    <mergeCell ref="AI57:AQ57"/>
    <mergeCell ref="C54:AC59"/>
    <mergeCell ref="C53:AC53"/>
    <mergeCell ref="AI58:AK58"/>
    <mergeCell ref="AL58:AN58"/>
    <mergeCell ref="AO58:AQ58"/>
    <mergeCell ref="AI53:AK53"/>
    <mergeCell ref="AI54:AK54"/>
    <mergeCell ref="AI55:AK55"/>
    <mergeCell ref="AI56:AK56"/>
  </mergeCells>
  <conditionalFormatting sqref="A8:AW8">
    <cfRule type="expression" dxfId="9" priority="1800">
      <formula>IF($AQ$8=PROJSTATMEASURE,FALSE,TRUE)</formula>
    </cfRule>
  </conditionalFormatting>
  <conditionalFormatting sqref="C10:C11">
    <cfRule type="expression" dxfId="8" priority="5">
      <formula>IF($C$10="",TRUE,FALSE)</formula>
    </cfRule>
  </conditionalFormatting>
  <conditionalFormatting sqref="D9">
    <cfRule type="expression" dxfId="7" priority="4">
      <formula>IF($C$10="",TRUE,FALSE)</formula>
    </cfRule>
  </conditionalFormatting>
  <conditionalFormatting sqref="R15:R27">
    <cfRule type="containsText" dxfId="6" priority="7" operator="containsText" text="Incomplete">
      <formula>NOT(ISERROR(SEARCH("Incomplete",R15)))</formula>
    </cfRule>
    <cfRule type="containsText" dxfId="5" priority="8" operator="containsText" text="Almost">
      <formula>NOT(ISERROR(SEARCH("Almost",R15)))</formula>
    </cfRule>
  </conditionalFormatting>
  <conditionalFormatting sqref="W15">
    <cfRule type="containsBlanks" dxfId="4" priority="13">
      <formula>LEN(TRIM(W15))=0</formula>
    </cfRule>
  </conditionalFormatting>
  <conditionalFormatting sqref="W22">
    <cfRule type="containsBlanks" dxfId="3" priority="12">
      <formula>LEN(TRIM(W22))=0</formula>
    </cfRule>
  </conditionalFormatting>
  <conditionalFormatting sqref="AE56:AQ56">
    <cfRule type="expression" dxfId="2" priority="6">
      <formula>IF(OR($AL$56&lt;0, $AO$56&lt;0),TRUE,FALSE)</formula>
    </cfRule>
  </conditionalFormatting>
  <conditionalFormatting sqref="AL15:AL21">
    <cfRule type="containsBlanks" dxfId="1" priority="18">
      <formula>LEN(TRIM(AL15))=0</formula>
    </cfRule>
  </conditionalFormatting>
  <conditionalFormatting sqref="AL24:AL27">
    <cfRule type="containsBlanks" dxfId="0" priority="1">
      <formula>LEN(TRIM(AL24))=0</formula>
    </cfRule>
  </conditionalFormatting>
  <dataValidations count="8">
    <dataValidation type="list" allowBlank="1" showInputMessage="1" showErrorMessage="1" sqref="AL26" xr:uid="{44B96E4F-47F9-4BC9-B333-8D8B84B3D01C}">
      <formula1>YESNOLIST</formula1>
    </dataValidation>
    <dataValidation type="list" allowBlank="1" showInputMessage="1" sqref="AL20" xr:uid="{C81FECFE-04B8-405A-8D25-87DADA32F9A6}">
      <formula1>BUSDEVELNAME</formula1>
    </dataValidation>
    <dataValidation type="list" allowBlank="1" showInputMessage="1" sqref="AL17" xr:uid="{7CEB51E2-45DC-421C-8211-0B7C0B7620B2}">
      <formula1>ENGNRSNAMES</formula1>
    </dataValidation>
    <dataValidation type="list" allowBlank="1" showInputMessage="1" sqref="G18" xr:uid="{DA971668-541F-4CA3-9B1B-56281603A1AB}">
      <formula1>PROJECTTYPELIST</formula1>
    </dataValidation>
    <dataValidation type="list" allowBlank="1" showInputMessage="1" sqref="AL16" xr:uid="{4AE8FCD5-07B2-41AA-9344-A70E8E3F29FD}">
      <formula1>IMPLSPECNAME</formula1>
    </dataValidation>
    <dataValidation type="list" allowBlank="1" showInputMessage="1" showErrorMessage="1" sqref="AL21" xr:uid="{F578D1C3-AC4D-4EA4-9E50-CC67D852B12A}">
      <formula1>ENERGYCODESLIST</formula1>
    </dataValidation>
    <dataValidation type="list" allowBlank="1" showInputMessage="1" showErrorMessage="1" sqref="AL24:AL25 AL27" xr:uid="{41AC3159-B01C-41C6-A73C-DD1E964786DA}">
      <formula1>"Yes, No"</formula1>
    </dataValidation>
    <dataValidation type="list" allowBlank="1" showInputMessage="1" showErrorMessage="1" sqref="AL18:AQ18" xr:uid="{85FFFFC7-840B-4F60-BE08-7C381F71372B}">
      <formula1>"PRELIMINARY,SUBMITTED,REVIEWED,FINAL"</formula1>
    </dataValidation>
  </dataValidations>
  <hyperlinks>
    <hyperlink ref="B202" r:id="rId1" display="businessrebates@evergy.com" xr:uid="{B42672AE-0EBB-487C-8E81-EEAAEF826D41}"/>
  </hyperlinks>
  <printOptions horizontalCentered="1"/>
  <pageMargins left="0" right="0" top="0" bottom="0" header="0" footer="0"/>
  <pageSetup scale="5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tabColor rgb="FFFFFF00"/>
  </sheetPr>
  <dimension ref="A1:AP81"/>
  <sheetViews>
    <sheetView topLeftCell="A6" zoomScale="85" zoomScaleNormal="85" workbookViewId="0">
      <selection activeCell="H32" sqref="H32"/>
    </sheetView>
  </sheetViews>
  <sheetFormatPr defaultColWidth="2.5703125" defaultRowHeight="15"/>
  <cols>
    <col min="1" max="1" width="58.42578125" bestFit="1" customWidth="1"/>
    <col min="2" max="2" width="15" bestFit="1" customWidth="1"/>
    <col min="3" max="3" width="43.85546875" bestFit="1" customWidth="1"/>
    <col min="4" max="4" width="28.7109375" bestFit="1" customWidth="1"/>
    <col min="5" max="5" width="19.140625" customWidth="1"/>
    <col min="6" max="6" width="17.5703125" bestFit="1" customWidth="1"/>
    <col min="7" max="7" width="16.5703125" bestFit="1" customWidth="1"/>
    <col min="8" max="8" width="17.85546875" bestFit="1" customWidth="1"/>
    <col min="9" max="9" width="13.140625" bestFit="1" customWidth="1"/>
    <col min="11" max="11" width="19" bestFit="1" customWidth="1"/>
    <col min="12" max="12" width="12.140625" bestFit="1" customWidth="1"/>
    <col min="13" max="13" width="13.42578125" bestFit="1" customWidth="1"/>
    <col min="14" max="14" width="12.5703125" bestFit="1" customWidth="1"/>
    <col min="15" max="15" width="19.140625" customWidth="1"/>
  </cols>
  <sheetData>
    <row r="1" spans="1:16">
      <c r="A1" t="s">
        <v>42</v>
      </c>
      <c r="H1" s="10"/>
      <c r="I1" s="10"/>
      <c r="J1" s="10"/>
      <c r="K1" s="10"/>
      <c r="N1" s="19"/>
      <c r="O1" s="19"/>
      <c r="P1" s="20"/>
    </row>
    <row r="2" spans="1:16">
      <c r="A2" t="s">
        <v>43</v>
      </c>
      <c r="H2" s="10"/>
      <c r="I2" s="10"/>
      <c r="J2" s="10"/>
      <c r="K2" s="10"/>
      <c r="N2" s="19"/>
      <c r="O2" s="19"/>
      <c r="P2" s="20"/>
    </row>
    <row r="3" spans="1:16">
      <c r="A3" t="s">
        <v>2377</v>
      </c>
    </row>
    <row r="5" spans="1:16">
      <c r="E5" t="s">
        <v>201</v>
      </c>
    </row>
    <row r="6" spans="1:16">
      <c r="A6" t="s">
        <v>44</v>
      </c>
      <c r="B6">
        <v>0</v>
      </c>
      <c r="E6" t="s">
        <v>327</v>
      </c>
    </row>
    <row r="7" spans="1:16">
      <c r="A7" s="58" t="s">
        <v>46</v>
      </c>
      <c r="B7" s="192">
        <v>6.7900000000000002E-2</v>
      </c>
      <c r="E7" s="59" t="s">
        <v>754</v>
      </c>
    </row>
    <row r="8" spans="1:16">
      <c r="A8" t="s">
        <v>199</v>
      </c>
      <c r="B8">
        <v>1</v>
      </c>
    </row>
    <row r="9" spans="1:16">
      <c r="B9" s="9"/>
    </row>
    <row r="10" spans="1:16">
      <c r="C10" s="10"/>
      <c r="D10" s="10"/>
      <c r="E10" s="10"/>
      <c r="F10" s="10"/>
      <c r="G10" s="10"/>
    </row>
    <row r="11" spans="1:16">
      <c r="A11" s="58" t="s">
        <v>39</v>
      </c>
      <c r="B11" s="58" t="s">
        <v>45</v>
      </c>
      <c r="C11" t="s">
        <v>200</v>
      </c>
      <c r="D11" s="10" t="s">
        <v>40</v>
      </c>
      <c r="E11" s="10" t="s">
        <v>41</v>
      </c>
      <c r="F11" s="58" t="s">
        <v>47</v>
      </c>
      <c r="G11" s="58" t="s">
        <v>743</v>
      </c>
    </row>
    <row r="12" spans="1:16">
      <c r="A12">
        <v>2025</v>
      </c>
      <c r="B12">
        <v>0</v>
      </c>
      <c r="F12" s="188">
        <f t="shared" ref="F12" ca="1" si="0">L50</f>
        <v>1.8964279109589092E-2</v>
      </c>
      <c r="G12" s="40">
        <f t="shared" ref="G12" ca="1" si="1">M50</f>
        <v>91.604684112804406</v>
      </c>
    </row>
    <row r="13" spans="1:16">
      <c r="A13">
        <v>2026</v>
      </c>
      <c r="B13">
        <v>1</v>
      </c>
      <c r="F13" s="188">
        <f t="shared" ref="F13:F36" ca="1" si="2">L51</f>
        <v>3.7550131362613315E-2</v>
      </c>
      <c r="G13" s="40">
        <f t="shared" ref="G13:G36" ca="1" si="3">M51</f>
        <v>444.48509996944301</v>
      </c>
    </row>
    <row r="14" spans="1:16">
      <c r="A14">
        <v>2027</v>
      </c>
      <c r="B14">
        <v>2</v>
      </c>
      <c r="F14" s="188">
        <f t="shared" ca="1" si="2"/>
        <v>5.5729239211704598E-2</v>
      </c>
      <c r="G14" s="40">
        <f t="shared" ca="1" si="3"/>
        <v>770.70447030859702</v>
      </c>
    </row>
    <row r="15" spans="1:16">
      <c r="A15">
        <v>2028</v>
      </c>
      <c r="B15">
        <v>3</v>
      </c>
      <c r="F15" s="188">
        <f t="shared" ca="1" si="2"/>
        <v>7.3298214179743734E-2</v>
      </c>
      <c r="G15" s="40">
        <f t="shared" ca="1" si="3"/>
        <v>905.14307288089537</v>
      </c>
    </row>
    <row r="16" spans="1:16">
      <c r="A16">
        <v>2029</v>
      </c>
      <c r="B16">
        <v>4</v>
      </c>
      <c r="F16" s="188">
        <f t="shared" ca="1" si="2"/>
        <v>9.0255159684652267E-2</v>
      </c>
      <c r="G16" s="40">
        <f t="shared" ca="1" si="3"/>
        <v>1025.4837734544058</v>
      </c>
    </row>
    <row r="17" spans="1:7">
      <c r="A17">
        <v>2030</v>
      </c>
      <c r="B17">
        <v>5</v>
      </c>
      <c r="F17" s="188">
        <f t="shared" ca="1" si="2"/>
        <v>0.10660976619699153</v>
      </c>
      <c r="G17" s="40">
        <f t="shared" ca="1" si="3"/>
        <v>1137.5526165155939</v>
      </c>
    </row>
    <row r="18" spans="1:7">
      <c r="A18">
        <v>2031</v>
      </c>
      <c r="B18">
        <v>6</v>
      </c>
      <c r="F18" s="188">
        <f t="shared" ca="1" si="2"/>
        <v>0.12237005749642234</v>
      </c>
      <c r="G18" s="40">
        <f t="shared" ca="1" si="3"/>
        <v>1243.5750541959942</v>
      </c>
    </row>
    <row r="19" spans="1:7">
      <c r="A19">
        <v>2032</v>
      </c>
      <c r="B19">
        <v>7</v>
      </c>
      <c r="F19" s="188">
        <f t="shared" ca="1" si="2"/>
        <v>0.13754686178543576</v>
      </c>
      <c r="G19" s="40">
        <f t="shared" ca="1" si="3"/>
        <v>1344.5515072165615</v>
      </c>
    </row>
    <row r="20" spans="1:7">
      <c r="A20">
        <v>2033</v>
      </c>
      <c r="B20">
        <v>8</v>
      </c>
      <c r="F20" s="188">
        <f t="shared" ca="1" si="2"/>
        <v>0.15227896385276976</v>
      </c>
      <c r="G20" s="40">
        <f t="shared" ca="1" si="3"/>
        <v>1440.5328173148396</v>
      </c>
    </row>
    <row r="21" spans="1:7">
      <c r="A21">
        <v>2034</v>
      </c>
      <c r="B21">
        <v>9</v>
      </c>
      <c r="F21" s="188">
        <f t="shared" ca="1" si="2"/>
        <v>0.16656275512924576</v>
      </c>
      <c r="G21" s="40">
        <f t="shared" ca="1" si="3"/>
        <v>1531.7499414174204</v>
      </c>
    </row>
    <row r="22" spans="1:7">
      <c r="A22">
        <v>2035</v>
      </c>
      <c r="B22">
        <v>10</v>
      </c>
      <c r="F22" s="188">
        <f t="shared" ca="1" si="2"/>
        <v>0.18039567472276144</v>
      </c>
      <c r="G22" s="40">
        <f t="shared" ca="1" si="3"/>
        <v>1618.4131496665598</v>
      </c>
    </row>
    <row r="23" spans="1:7">
      <c r="A23">
        <v>2036</v>
      </c>
      <c r="B23">
        <v>11</v>
      </c>
      <c r="F23" s="188">
        <f t="shared" ca="1" si="2"/>
        <v>0.1937793871761492</v>
      </c>
      <c r="G23" s="40">
        <f t="shared" ca="1" si="3"/>
        <v>1700.641387715274</v>
      </c>
    </row>
    <row r="24" spans="1:7">
      <c r="A24">
        <v>2037</v>
      </c>
      <c r="B24">
        <v>12</v>
      </c>
      <c r="F24" s="188">
        <f t="shared" ca="1" si="2"/>
        <v>0.20671119180188324</v>
      </c>
      <c r="G24" s="40">
        <f t="shared" ca="1" si="3"/>
        <v>1778.5229961114601</v>
      </c>
    </row>
    <row r="25" spans="1:7">
      <c r="A25">
        <v>2038</v>
      </c>
      <c r="B25">
        <v>13</v>
      </c>
      <c r="F25" s="188">
        <f t="shared" ca="1" si="2"/>
        <v>0.21919627087549245</v>
      </c>
      <c r="G25" s="40">
        <f t="shared" ca="1" si="3"/>
        <v>1852.2491352622253</v>
      </c>
    </row>
    <row r="26" spans="1:7">
      <c r="A26">
        <v>2039</v>
      </c>
      <c r="B26">
        <v>14</v>
      </c>
      <c r="F26" s="188">
        <f t="shared" ca="1" si="2"/>
        <v>0.23123917634514887</v>
      </c>
      <c r="G26" s="40">
        <f t="shared" ca="1" si="3"/>
        <v>1922.1547756264083</v>
      </c>
    </row>
    <row r="27" spans="1:7">
      <c r="A27">
        <v>2040</v>
      </c>
      <c r="B27">
        <v>15</v>
      </c>
      <c r="F27" s="188">
        <f t="shared" ca="1" si="2"/>
        <v>0.24284842069177681</v>
      </c>
      <c r="G27" s="40">
        <f t="shared" ca="1" si="3"/>
        <v>1988.6454618785151</v>
      </c>
    </row>
    <row r="28" spans="1:7">
      <c r="A28">
        <v>2041</v>
      </c>
      <c r="B28">
        <v>16</v>
      </c>
      <c r="F28" s="188">
        <f t="shared" ca="1" si="2"/>
        <v>0.2540252827188802</v>
      </c>
      <c r="G28" s="40">
        <f t="shared" ca="1" si="3"/>
        <v>2051.8505959961713</v>
      </c>
    </row>
    <row r="29" spans="1:7">
      <c r="A29">
        <v>2042</v>
      </c>
      <c r="B29">
        <v>17</v>
      </c>
      <c r="F29" s="188">
        <f t="shared" ca="1" si="2"/>
        <v>0.264780304687737</v>
      </c>
      <c r="G29" s="40">
        <f t="shared" ca="1" si="3"/>
        <v>2111.9109408282884</v>
      </c>
    </row>
    <row r="30" spans="1:7">
      <c r="A30">
        <v>2043</v>
      </c>
      <c r="B30">
        <v>18</v>
      </c>
      <c r="F30" s="188">
        <f t="shared" ca="1" si="2"/>
        <v>0.27512179823790217</v>
      </c>
      <c r="G30" s="40">
        <f t="shared" ca="1" si="3"/>
        <v>2169.0099862006459</v>
      </c>
    </row>
    <row r="31" spans="1:7">
      <c r="A31">
        <v>2044</v>
      </c>
      <c r="B31">
        <v>19</v>
      </c>
      <c r="F31" s="188">
        <f t="shared" ca="1" si="2"/>
        <v>0.28504785019868439</v>
      </c>
      <c r="G31" s="40">
        <f t="shared" ca="1" si="3"/>
        <v>2223.5301432277965</v>
      </c>
    </row>
    <row r="32" spans="1:7">
      <c r="A32">
        <v>2045</v>
      </c>
      <c r="B32">
        <v>20</v>
      </c>
      <c r="F32" s="188">
        <f t="shared" ca="1" si="2"/>
        <v>0.29457514981456767</v>
      </c>
      <c r="G32" s="40">
        <f t="shared" ca="1" si="3"/>
        <v>2275.5958080986811</v>
      </c>
    </row>
    <row r="33" spans="1:42">
      <c r="A33">
        <v>2046</v>
      </c>
      <c r="B33">
        <v>21</v>
      </c>
      <c r="F33" s="188">
        <f t="shared" ca="1" si="2"/>
        <v>0.30371971588468694</v>
      </c>
      <c r="G33" s="40">
        <f t="shared" ca="1" si="3"/>
        <v>2325.3248626946211</v>
      </c>
    </row>
    <row r="34" spans="1:42">
      <c r="A34">
        <v>2047</v>
      </c>
      <c r="B34">
        <v>22</v>
      </c>
      <c r="F34" s="188">
        <f t="shared" ca="1" si="2"/>
        <v>0.31249692369616017</v>
      </c>
      <c r="G34" s="40">
        <f t="shared" ca="1" si="3"/>
        <v>2372.8290469464318</v>
      </c>
    </row>
    <row r="35" spans="1:42">
      <c r="A35">
        <v>2048</v>
      </c>
      <c r="B35">
        <v>23</v>
      </c>
      <c r="F35" s="188">
        <f t="shared" ca="1" si="2"/>
        <v>0.32092153087544667</v>
      </c>
      <c r="G35" s="40">
        <f t="shared" ca="1" si="3"/>
        <v>2418.2143081606168</v>
      </c>
    </row>
    <row r="36" spans="1:42">
      <c r="A36">
        <v>2049</v>
      </c>
      <c r="B36">
        <v>24</v>
      </c>
      <c r="F36" s="188">
        <f t="shared" ca="1" si="2"/>
        <v>0.32900770220119691</v>
      </c>
      <c r="G36" s="40">
        <f t="shared" ca="1" si="3"/>
        <v>2461.5811288287045</v>
      </c>
    </row>
    <row r="37" spans="1:42">
      <c r="F37" s="188"/>
      <c r="G37" s="188"/>
    </row>
    <row r="38" spans="1:42">
      <c r="A38" s="421" t="s">
        <v>1977</v>
      </c>
      <c r="B38" s="421"/>
      <c r="C38" s="421"/>
      <c r="D38" s="60"/>
      <c r="E38" s="60"/>
      <c r="F38" s="60"/>
      <c r="G38" t="s">
        <v>322</v>
      </c>
    </row>
    <row r="39" spans="1:42" ht="15.75">
      <c r="A39" s="421"/>
      <c r="B39" s="421"/>
      <c r="C39" s="421"/>
      <c r="D39" s="60"/>
      <c r="E39" s="60"/>
      <c r="F39" s="60"/>
      <c r="AP39" s="68"/>
    </row>
    <row r="40" spans="1:42">
      <c r="A40" s="421" t="s">
        <v>744</v>
      </c>
      <c r="B40" s="421" t="s">
        <v>1978</v>
      </c>
      <c r="C40" s="273">
        <v>6.7900000000000002E-2</v>
      </c>
      <c r="D40" s="60"/>
      <c r="E40" s="422"/>
      <c r="F40" s="60"/>
    </row>
    <row r="41" spans="1:42">
      <c r="A41" s="421"/>
      <c r="B41" s="421" t="s">
        <v>1979</v>
      </c>
      <c r="C41" s="273">
        <v>6.7900000000000002E-2</v>
      </c>
      <c r="D41" s="60"/>
      <c r="E41" s="60"/>
      <c r="F41" s="60"/>
    </row>
    <row r="42" spans="1:42">
      <c r="A42" s="421"/>
      <c r="B42" s="421"/>
      <c r="C42" s="273"/>
      <c r="D42" s="60"/>
      <c r="E42" s="60"/>
      <c r="F42" s="60"/>
    </row>
    <row r="43" spans="1:42">
      <c r="A43" s="423" t="s">
        <v>1980</v>
      </c>
      <c r="B43" s="186" t="str">
        <f ca="1">IFERROR(
IF(APP_TYPE="General App",INDEX(RATECLASS[Territory],MATCH(M02S04F05,RATECLASS[Rate Schedules],0)),
IF(APP_TYPE="New Con App",INDEX(RATECLASS[Territory],MATCH(N02S03F13,RATECLASS[Rate Schedules],0)),
IF(APP_TYPE="RCx App",INDEX(RATECLASS[Territory],MATCH(X02S03F22,RATECLASS[Rate Schedules],0)),"MO West"))),"MO West")</f>
        <v>MO West</v>
      </c>
      <c r="C43" s="60"/>
      <c r="D43" s="60"/>
      <c r="E43" s="60"/>
      <c r="F43" s="60"/>
      <c r="G43" s="60"/>
    </row>
    <row r="44" spans="1:42">
      <c r="A44" s="423" t="s">
        <v>744</v>
      </c>
      <c r="B44" s="424">
        <f ca="1">IF(B43=B40,C40,IF(B43=B41,C41,""))</f>
        <v>6.7900000000000002E-2</v>
      </c>
      <c r="C44" s="60"/>
      <c r="D44" s="60"/>
      <c r="E44" s="60"/>
      <c r="F44" s="60"/>
    </row>
    <row r="45" spans="1:42">
      <c r="A45" s="423" t="s">
        <v>1054</v>
      </c>
      <c r="B45" s="425">
        <v>2.5000000000000001E-2</v>
      </c>
      <c r="C45" s="182"/>
      <c r="D45" s="60"/>
      <c r="E45" s="60"/>
      <c r="F45" s="60"/>
    </row>
    <row r="46" spans="1:42">
      <c r="A46" s="423" t="s">
        <v>1055</v>
      </c>
      <c r="B46" s="425">
        <v>0.03</v>
      </c>
      <c r="C46" s="60"/>
      <c r="D46" s="60"/>
      <c r="E46" s="60"/>
      <c r="F46" s="60"/>
      <c r="H46" s="60"/>
      <c r="I46" s="60"/>
      <c r="J46" s="60"/>
      <c r="K46" s="60"/>
    </row>
    <row r="47" spans="1:42">
      <c r="A47" s="423" t="s">
        <v>1056</v>
      </c>
      <c r="B47" s="426">
        <v>0</v>
      </c>
      <c r="C47" s="60" t="s">
        <v>1057</v>
      </c>
      <c r="D47" s="60"/>
      <c r="E47" s="60"/>
      <c r="F47" s="60"/>
      <c r="K47" s="614" t="s">
        <v>746</v>
      </c>
      <c r="L47" s="614"/>
      <c r="M47" s="614"/>
      <c r="N47" s="614"/>
      <c r="O47" s="614"/>
      <c r="Q47" s="10"/>
    </row>
    <row r="48" spans="1:42">
      <c r="A48" s="427"/>
      <c r="B48" s="428"/>
      <c r="C48" s="60"/>
      <c r="D48" s="60"/>
      <c r="E48" s="60"/>
      <c r="F48" s="60"/>
      <c r="K48" s="430"/>
      <c r="L48" s="614" t="s">
        <v>748</v>
      </c>
      <c r="M48" s="614"/>
      <c r="N48" s="614" t="s">
        <v>1059</v>
      </c>
      <c r="O48" s="614"/>
    </row>
    <row r="49" spans="1:15">
      <c r="F49" s="427"/>
      <c r="G49" s="429"/>
      <c r="H49" s="183" t="s">
        <v>751</v>
      </c>
      <c r="I49" s="183" t="s">
        <v>752</v>
      </c>
      <c r="K49" s="431" t="s">
        <v>750</v>
      </c>
      <c r="L49" s="432" t="s">
        <v>320</v>
      </c>
      <c r="M49" s="432" t="s">
        <v>749</v>
      </c>
      <c r="N49" s="432" t="s">
        <v>1981</v>
      </c>
      <c r="O49" s="433" t="s">
        <v>1982</v>
      </c>
    </row>
    <row r="50" spans="1:15">
      <c r="B50" s="613" t="s">
        <v>745</v>
      </c>
      <c r="C50" s="614"/>
      <c r="D50" s="614"/>
      <c r="E50" s="614"/>
      <c r="F50" s="614"/>
      <c r="G50" s="60"/>
      <c r="H50" s="11"/>
      <c r="I50" s="11"/>
      <c r="K50" s="439">
        <f ca="1">IF(A53=YEAR(TODAY()),0,"")</f>
        <v>0</v>
      </c>
      <c r="L50" s="440">
        <f ca="1">C53*(1+$B$44)^-B53</f>
        <v>1.8964279109589092E-2</v>
      </c>
      <c r="M50" s="436">
        <f ca="1">D53*(1+$B$44)^-B53</f>
        <v>91.604684112804406</v>
      </c>
      <c r="N50" s="440">
        <f>E53*(1+$B$46)^-B53</f>
        <v>1.8964279109589092E-2</v>
      </c>
      <c r="O50" s="441">
        <f>F53*(1+$B$46)^-B53</f>
        <v>91.604684112804406</v>
      </c>
    </row>
    <row r="51" spans="1:15">
      <c r="B51" s="183"/>
      <c r="C51" s="614" t="s">
        <v>747</v>
      </c>
      <c r="D51" s="614"/>
      <c r="E51" s="614" t="s">
        <v>1058</v>
      </c>
      <c r="F51" s="614"/>
      <c r="G51" s="60"/>
      <c r="H51" s="185">
        <f t="shared" ref="H51:H74" si="4">C54/C53</f>
        <v>1.0465903558110323</v>
      </c>
      <c r="I51" s="185">
        <f t="shared" ref="I51:I74" si="5">D54/D53</f>
        <v>4.1137743090653807</v>
      </c>
      <c r="K51" s="439">
        <f ca="1">IF(A54=YEAR(TODAY()),0,IF(K50&lt;&gt;"",K50+1,""))</f>
        <v>1</v>
      </c>
      <c r="L51" s="440">
        <f ca="1">L50+C54*(1+$B$44)^-B54</f>
        <v>3.7550131362613315E-2</v>
      </c>
      <c r="M51" s="436">
        <f ca="1">M50+D54*(1+$B$44)^-B54</f>
        <v>444.48509996944301</v>
      </c>
      <c r="N51" s="440">
        <f>N50+E54*(1+$B$46)^-B54</f>
        <v>3.8234018547457616E-2</v>
      </c>
      <c r="O51" s="441">
        <f>O50+F54*(1+$B$46)^-B54</f>
        <v>457.46972886358537</v>
      </c>
    </row>
    <row r="52" spans="1:15">
      <c r="A52" s="184" t="s">
        <v>39</v>
      </c>
      <c r="B52" s="184" t="s">
        <v>750</v>
      </c>
      <c r="C52" s="183" t="s">
        <v>320</v>
      </c>
      <c r="D52" s="183" t="s">
        <v>749</v>
      </c>
      <c r="E52" s="183" t="s">
        <v>320</v>
      </c>
      <c r="F52" s="183" t="s">
        <v>749</v>
      </c>
      <c r="G52" s="60"/>
      <c r="H52" s="185">
        <f t="shared" si="4"/>
        <v>1.0445294091308452</v>
      </c>
      <c r="I52" s="185">
        <f t="shared" si="5"/>
        <v>0.98721734029782893</v>
      </c>
      <c r="K52" s="439">
        <f t="shared" ref="K52:K74" ca="1" si="6">IF(A55=YEAR(TODAY()),0,IF(K51&lt;&gt;"",K51+1,""))</f>
        <v>2</v>
      </c>
      <c r="L52" s="440">
        <f t="shared" ref="L52:L74" ca="1" si="7">L51+C55*(1+$B$44)^-B55</f>
        <v>5.5729239211704598E-2</v>
      </c>
      <c r="M52" s="436">
        <f t="shared" ref="M52:M74" ca="1" si="8">M51+D55*(1+$B$44)^-B55</f>
        <v>770.70447030859702</v>
      </c>
      <c r="N52" s="440">
        <f t="shared" ref="N52:N74" si="9">N51+E55*(1+$B$46)^-B55</f>
        <v>5.7775581216527663E-2</v>
      </c>
      <c r="O52" s="441">
        <f t="shared" ref="O52:O74" si="10">O51+F55*(1+$B$46)^-B55</f>
        <v>808.13799720029624</v>
      </c>
    </row>
    <row r="53" spans="1:15">
      <c r="A53" s="434">
        <v>2025</v>
      </c>
      <c r="B53" s="434">
        <v>0</v>
      </c>
      <c r="C53" s="435">
        <v>1.8964279109589092E-2</v>
      </c>
      <c r="D53" s="436">
        <v>91.604684112804406</v>
      </c>
      <c r="E53" s="437">
        <f>C53+$C$10*(1+$C$8)^(B53-1)</f>
        <v>1.8964279109589092E-2</v>
      </c>
      <c r="F53" s="438">
        <f>D53</f>
        <v>91.604684112804406</v>
      </c>
      <c r="G53" s="61"/>
      <c r="H53" s="185">
        <f t="shared" si="4"/>
        <v>1.0320588075122088</v>
      </c>
      <c r="I53" s="185">
        <f t="shared" si="5"/>
        <v>0.44009337501233586</v>
      </c>
      <c r="K53" s="439">
        <f t="shared" ca="1" si="6"/>
        <v>3</v>
      </c>
      <c r="L53" s="440">
        <f t="shared" ca="1" si="7"/>
        <v>7.3298214179743734E-2</v>
      </c>
      <c r="M53" s="436">
        <f t="shared" ca="1" si="8"/>
        <v>905.14307288089537</v>
      </c>
      <c r="N53" s="440">
        <f t="shared" si="9"/>
        <v>7.7356204386591285E-2</v>
      </c>
      <c r="O53" s="441">
        <f t="shared" si="10"/>
        <v>957.96982411489284</v>
      </c>
    </row>
    <row r="54" spans="1:15">
      <c r="A54" s="434">
        <v>2026</v>
      </c>
      <c r="B54" s="434">
        <v>1</v>
      </c>
      <c r="C54" s="435">
        <v>1.9847831621004574E-2</v>
      </c>
      <c r="D54" s="436">
        <v>376.8409960933044</v>
      </c>
      <c r="E54" s="437">
        <f t="shared" ref="E54:E77" si="11">C54+$C$10*(1+$C$8)^(B54-1)</f>
        <v>1.9847831621004574E-2</v>
      </c>
      <c r="F54" s="438">
        <f t="shared" ref="F54:F77" si="12">D54</f>
        <v>376.8409960933044</v>
      </c>
      <c r="G54" s="61"/>
      <c r="H54" s="185">
        <f t="shared" si="4"/>
        <v>1.0306988391544669</v>
      </c>
      <c r="I54" s="185">
        <f t="shared" si="5"/>
        <v>0.95591468286306236</v>
      </c>
      <c r="K54" s="439">
        <f t="shared" ca="1" si="6"/>
        <v>4</v>
      </c>
      <c r="L54" s="440">
        <f t="shared" ca="1" si="7"/>
        <v>9.0255159684652267E-2</v>
      </c>
      <c r="M54" s="436">
        <f t="shared" ca="1" si="8"/>
        <v>1025.4837734544058</v>
      </c>
      <c r="N54" s="440">
        <f t="shared" si="9"/>
        <v>9.6950112708247244E-2</v>
      </c>
      <c r="O54" s="441">
        <f t="shared" si="10"/>
        <v>1097.0246234429121</v>
      </c>
    </row>
    <row r="55" spans="1:15">
      <c r="A55" s="434">
        <v>2027</v>
      </c>
      <c r="B55" s="434">
        <v>2</v>
      </c>
      <c r="C55" s="435">
        <v>2.0731643835616414E-2</v>
      </c>
      <c r="D55" s="436">
        <v>372.0239658784165</v>
      </c>
      <c r="E55" s="437">
        <f t="shared" si="11"/>
        <v>2.0731643835616414E-2</v>
      </c>
      <c r="F55" s="438">
        <f t="shared" si="12"/>
        <v>372.0239658784165</v>
      </c>
      <c r="G55" s="61"/>
      <c r="H55" s="185">
        <f t="shared" si="4"/>
        <v>1.0299664104877537</v>
      </c>
      <c r="I55" s="185">
        <f t="shared" si="5"/>
        <v>0.99449576855285926</v>
      </c>
      <c r="K55" s="439">
        <f t="shared" ca="1" si="6"/>
        <v>5</v>
      </c>
      <c r="L55" s="440">
        <f t="shared" ca="1" si="7"/>
        <v>0.10660976619699153</v>
      </c>
      <c r="M55" s="436">
        <f t="shared" ca="1" si="8"/>
        <v>1137.5526165155939</v>
      </c>
      <c r="N55" s="440">
        <f t="shared" si="9"/>
        <v>0.11654338204949202</v>
      </c>
      <c r="O55" s="441">
        <f t="shared" si="10"/>
        <v>1231.286186092118</v>
      </c>
    </row>
    <row r="56" spans="1:15">
      <c r="A56" s="434">
        <v>2028</v>
      </c>
      <c r="B56" s="434">
        <v>3</v>
      </c>
      <c r="C56" s="435">
        <v>2.1396275614754112E-2</v>
      </c>
      <c r="D56" s="436">
        <v>163.72528272890639</v>
      </c>
      <c r="E56" s="437">
        <f t="shared" si="11"/>
        <v>2.1396275614754112E-2</v>
      </c>
      <c r="F56" s="438">
        <f t="shared" si="12"/>
        <v>163.72528272890639</v>
      </c>
      <c r="G56" s="61"/>
      <c r="H56" s="185">
        <f t="shared" si="4"/>
        <v>1.0290932445218977</v>
      </c>
      <c r="I56" s="185">
        <f t="shared" si="5"/>
        <v>1.0102840192352309</v>
      </c>
      <c r="K56" s="439">
        <f t="shared" ca="1" si="6"/>
        <v>6</v>
      </c>
      <c r="L56" s="440">
        <f t="shared" ca="1" si="7"/>
        <v>0.12237005749642234</v>
      </c>
      <c r="M56" s="436">
        <f t="shared" ca="1" si="8"/>
        <v>1243.5750541959942</v>
      </c>
      <c r="N56" s="440">
        <f t="shared" si="9"/>
        <v>0.13611940255160174</v>
      </c>
      <c r="O56" s="441">
        <f t="shared" si="10"/>
        <v>1362.9777503076932</v>
      </c>
    </row>
    <row r="57" spans="1:15">
      <c r="A57" s="434">
        <v>2029</v>
      </c>
      <c r="B57" s="434">
        <v>4</v>
      </c>
      <c r="C57" s="435">
        <v>2.2053116438356092E-2</v>
      </c>
      <c r="D57" s="436">
        <v>156.50740171646777</v>
      </c>
      <c r="E57" s="437">
        <f t="shared" si="11"/>
        <v>2.2053116438356092E-2</v>
      </c>
      <c r="F57" s="438">
        <f t="shared" si="12"/>
        <v>156.50740171646777</v>
      </c>
      <c r="G57" s="61"/>
      <c r="H57" s="185">
        <f t="shared" si="4"/>
        <v>1.0283635620886502</v>
      </c>
      <c r="I57" s="185">
        <f t="shared" si="5"/>
        <v>1.0170748432112149</v>
      </c>
      <c r="K57" s="439">
        <f t="shared" ca="1" si="6"/>
        <v>7</v>
      </c>
      <c r="L57" s="440">
        <f t="shared" ca="1" si="7"/>
        <v>0.13754686178543576</v>
      </c>
      <c r="M57" s="436">
        <f t="shared" ca="1" si="8"/>
        <v>1344.5515072165615</v>
      </c>
      <c r="N57" s="440">
        <f t="shared" si="9"/>
        <v>0.15566432116817455</v>
      </c>
      <c r="O57" s="441">
        <f t="shared" si="10"/>
        <v>1493.0167571298252</v>
      </c>
    </row>
    <row r="58" spans="1:15">
      <c r="A58" s="434">
        <v>2030</v>
      </c>
      <c r="B58" s="434">
        <v>5</v>
      </c>
      <c r="C58" s="435">
        <v>2.2713969178082102E-2</v>
      </c>
      <c r="D58" s="436">
        <v>155.64594875422969</v>
      </c>
      <c r="E58" s="437">
        <f t="shared" si="11"/>
        <v>2.2713969178082102E-2</v>
      </c>
      <c r="F58" s="438">
        <f t="shared" si="12"/>
        <v>155.64594875422969</v>
      </c>
      <c r="G58" s="61"/>
      <c r="H58" s="185">
        <f t="shared" si="4"/>
        <v>1.0366089921245656</v>
      </c>
      <c r="I58" s="185">
        <f t="shared" si="5"/>
        <v>1.0150727024752362</v>
      </c>
      <c r="K58" s="439">
        <f t="shared" ca="1" si="6"/>
        <v>8</v>
      </c>
      <c r="L58" s="440">
        <f t="shared" ca="1" si="7"/>
        <v>0.15227896385276976</v>
      </c>
      <c r="M58" s="436">
        <f t="shared" ca="1" si="8"/>
        <v>1440.5328173148396</v>
      </c>
      <c r="N58" s="440">
        <f t="shared" si="9"/>
        <v>0.17533464970048737</v>
      </c>
      <c r="O58" s="441">
        <f t="shared" si="10"/>
        <v>1621.1711708018031</v>
      </c>
    </row>
    <row r="59" spans="1:15">
      <c r="A59" s="434">
        <v>2031</v>
      </c>
      <c r="B59" s="434">
        <v>6</v>
      </c>
      <c r="C59" s="435">
        <v>2.337479223744289E-2</v>
      </c>
      <c r="D59" s="436">
        <v>157.24661468510396</v>
      </c>
      <c r="E59" s="437">
        <f t="shared" si="11"/>
        <v>2.337479223744289E-2</v>
      </c>
      <c r="F59" s="438">
        <f t="shared" si="12"/>
        <v>157.24661468510396</v>
      </c>
      <c r="G59" s="61"/>
      <c r="H59" s="185">
        <f t="shared" si="4"/>
        <v>1.0354028660968333</v>
      </c>
      <c r="I59" s="185">
        <f t="shared" si="5"/>
        <v>1.0148930737599275</v>
      </c>
      <c r="K59" s="439">
        <f t="shared" ca="1" si="6"/>
        <v>9</v>
      </c>
      <c r="L59" s="440">
        <f t="shared" ca="1" si="7"/>
        <v>0.16656275512924576</v>
      </c>
      <c r="M59" s="436">
        <f t="shared" ca="1" si="8"/>
        <v>1531.7499414174204</v>
      </c>
      <c r="N59" s="440">
        <f t="shared" si="9"/>
        <v>0.1951081589620631</v>
      </c>
      <c r="O59" s="441">
        <f t="shared" si="10"/>
        <v>1747.4459541100116</v>
      </c>
    </row>
    <row r="60" spans="1:15">
      <c r="A60" s="434">
        <v>2032</v>
      </c>
      <c r="B60" s="434">
        <v>7</v>
      </c>
      <c r="C60" s="435">
        <v>2.4037784608378902E-2</v>
      </c>
      <c r="D60" s="436">
        <v>159.93157597634644</v>
      </c>
      <c r="E60" s="437">
        <f t="shared" si="11"/>
        <v>2.4037784608378902E-2</v>
      </c>
      <c r="F60" s="438">
        <f t="shared" si="12"/>
        <v>159.93157597634644</v>
      </c>
      <c r="G60" s="61"/>
      <c r="H60" s="185">
        <f t="shared" si="4"/>
        <v>1.0341914515541633</v>
      </c>
      <c r="I60" s="185">
        <f t="shared" si="5"/>
        <v>1.0145862523047637</v>
      </c>
      <c r="K60" s="439">
        <f t="shared" ca="1" si="6"/>
        <v>10</v>
      </c>
      <c r="L60" s="440">
        <f t="shared" ca="1" si="7"/>
        <v>0.18039567472276144</v>
      </c>
      <c r="M60" s="436">
        <f t="shared" ca="1" si="8"/>
        <v>1618.4131496665598</v>
      </c>
      <c r="N60" s="440">
        <f t="shared" si="9"/>
        <v>0.21496213395774144</v>
      </c>
      <c r="O60" s="441">
        <f t="shared" si="10"/>
        <v>1871.8310600879452</v>
      </c>
    </row>
    <row r="61" spans="1:15">
      <c r="A61" s="434">
        <v>2033</v>
      </c>
      <c r="B61" s="434">
        <v>8</v>
      </c>
      <c r="C61" s="435">
        <v>2.4917783675799051E-2</v>
      </c>
      <c r="D61" s="436">
        <v>162.34217703743354</v>
      </c>
      <c r="E61" s="437">
        <f t="shared" si="11"/>
        <v>2.4917783675799051E-2</v>
      </c>
      <c r="F61" s="438">
        <f t="shared" si="12"/>
        <v>162.34217703743354</v>
      </c>
      <c r="G61" s="61"/>
      <c r="H61" s="185">
        <f t="shared" si="4"/>
        <v>1.0332212540057362</v>
      </c>
      <c r="I61" s="185">
        <f t="shared" si="5"/>
        <v>1.0132504575618897</v>
      </c>
      <c r="K61" s="439">
        <f t="shared" ca="1" si="6"/>
        <v>11</v>
      </c>
      <c r="L61" s="440">
        <f t="shared" ca="1" si="7"/>
        <v>0.1937793871761492</v>
      </c>
      <c r="M61" s="436">
        <f t="shared" ca="1" si="8"/>
        <v>1700.641387715274</v>
      </c>
      <c r="N61" s="440">
        <f t="shared" si="9"/>
        <v>0.23487820089175437</v>
      </c>
      <c r="O61" s="441">
        <f t="shared" si="10"/>
        <v>1994.1934538219502</v>
      </c>
    </row>
    <row r="62" spans="1:15">
      <c r="A62" s="434">
        <v>2034</v>
      </c>
      <c r="B62" s="434">
        <v>9</v>
      </c>
      <c r="C62" s="435">
        <v>2.5799944634703222E-2</v>
      </c>
      <c r="D62" s="436">
        <v>164.75995105439927</v>
      </c>
      <c r="E62" s="437">
        <f t="shared" si="11"/>
        <v>2.5799944634703222E-2</v>
      </c>
      <c r="F62" s="438">
        <f t="shared" si="12"/>
        <v>164.75995105439927</v>
      </c>
      <c r="G62" s="61"/>
      <c r="H62" s="185">
        <f t="shared" si="4"/>
        <v>1.0318418157830149</v>
      </c>
      <c r="I62" s="185">
        <f t="shared" si="5"/>
        <v>1.0114502217232857</v>
      </c>
      <c r="K62" s="439">
        <f t="shared" ca="1" si="6"/>
        <v>12</v>
      </c>
      <c r="L62" s="440">
        <f t="shared" ca="1" si="7"/>
        <v>0.20671119180188324</v>
      </c>
      <c r="M62" s="436">
        <f t="shared" ca="1" si="8"/>
        <v>1778.5229961114601</v>
      </c>
      <c r="N62" s="440">
        <f t="shared" si="9"/>
        <v>0.25482988115238348</v>
      </c>
      <c r="O62" s="441">
        <f t="shared" si="10"/>
        <v>2114.3521628247186</v>
      </c>
    </row>
    <row r="63" spans="1:15">
      <c r="A63" s="434">
        <v>2035</v>
      </c>
      <c r="B63" s="434">
        <v>10</v>
      </c>
      <c r="C63" s="435">
        <v>2.6682082191780771E-2</v>
      </c>
      <c r="D63" s="436">
        <v>167.16318127019926</v>
      </c>
      <c r="E63" s="437">
        <f t="shared" si="11"/>
        <v>2.6682082191780771E-2</v>
      </c>
      <c r="F63" s="438">
        <f t="shared" si="12"/>
        <v>167.16318127019926</v>
      </c>
      <c r="G63" s="61"/>
      <c r="H63" s="185">
        <f t="shared" si="4"/>
        <v>1.0310096949790939</v>
      </c>
      <c r="I63" s="185">
        <f t="shared" si="5"/>
        <v>1.0109208787598412</v>
      </c>
      <c r="K63" s="439">
        <f t="shared" ca="1" si="6"/>
        <v>13</v>
      </c>
      <c r="L63" s="440">
        <f t="shared" ca="1" si="7"/>
        <v>0.21919627087549245</v>
      </c>
      <c r="M63" s="436">
        <f t="shared" ca="1" si="8"/>
        <v>1852.2491352622253</v>
      </c>
      <c r="N63" s="440">
        <f t="shared" si="9"/>
        <v>0.27480111977357924</v>
      </c>
      <c r="O63" s="441">
        <f t="shared" si="10"/>
        <v>2232.2851217526086</v>
      </c>
    </row>
    <row r="64" spans="1:15">
      <c r="A64" s="434">
        <v>2036</v>
      </c>
      <c r="B64" s="434">
        <v>11</v>
      </c>
      <c r="C64" s="435">
        <v>2.7568494421675849E-2</v>
      </c>
      <c r="D64" s="436">
        <v>169.37816990953053</v>
      </c>
      <c r="E64" s="437">
        <f t="shared" si="11"/>
        <v>2.7568494421675849E-2</v>
      </c>
      <c r="F64" s="438">
        <f t="shared" si="12"/>
        <v>169.37816990953053</v>
      </c>
      <c r="G64" s="61"/>
      <c r="H64" s="185">
        <f t="shared" si="4"/>
        <v>1.0300790788126184</v>
      </c>
      <c r="I64" s="185">
        <f t="shared" si="5"/>
        <v>1.0125612734481042</v>
      </c>
      <c r="K64" s="439">
        <f t="shared" ca="1" si="6"/>
        <v>14</v>
      </c>
      <c r="L64" s="440">
        <f t="shared" ca="1" si="7"/>
        <v>0.23123917634514887</v>
      </c>
      <c r="M64" s="436">
        <f t="shared" ca="1" si="8"/>
        <v>1922.1547756264083</v>
      </c>
      <c r="N64" s="440">
        <f t="shared" si="9"/>
        <v>0.29477389169752904</v>
      </c>
      <c r="O64" s="441">
        <f t="shared" si="10"/>
        <v>2348.2213810472954</v>
      </c>
    </row>
    <row r="65" spans="1:15">
      <c r="A65" s="434">
        <v>2037</v>
      </c>
      <c r="B65" s="434">
        <v>12</v>
      </c>
      <c r="C65" s="435">
        <v>2.8446325342465929E-2</v>
      </c>
      <c r="D65" s="436">
        <v>171.31758751007902</v>
      </c>
      <c r="E65" s="437">
        <f t="shared" si="11"/>
        <v>2.8446325342465929E-2</v>
      </c>
      <c r="F65" s="438">
        <f t="shared" si="12"/>
        <v>171.31758751007902</v>
      </c>
      <c r="G65" s="61"/>
      <c r="H65" s="185">
        <f t="shared" si="4"/>
        <v>1.029445267091156</v>
      </c>
      <c r="I65" s="185">
        <f t="shared" si="5"/>
        <v>1.0157321137280539</v>
      </c>
      <c r="K65" s="439">
        <f t="shared" ca="1" si="6"/>
        <v>15</v>
      </c>
      <c r="L65" s="440">
        <f t="shared" ca="1" si="7"/>
        <v>0.24284842069177681</v>
      </c>
      <c r="M65" s="436">
        <f t="shared" ca="1" si="8"/>
        <v>1988.6454618785151</v>
      </c>
      <c r="N65" s="440">
        <f t="shared" si="9"/>
        <v>0.31473590677306423</v>
      </c>
      <c r="O65" s="441">
        <f t="shared" si="10"/>
        <v>2462.5516545532332</v>
      </c>
    </row>
    <row r="66" spans="1:15">
      <c r="A66" s="434">
        <v>2038</v>
      </c>
      <c r="B66" s="434">
        <v>13</v>
      </c>
      <c r="C66" s="435">
        <v>2.9328437214611865E-2</v>
      </c>
      <c r="D66" s="436">
        <v>173.18852611270506</v>
      </c>
      <c r="E66" s="437">
        <f t="shared" si="11"/>
        <v>2.9328437214611865E-2</v>
      </c>
      <c r="F66" s="438">
        <f t="shared" si="12"/>
        <v>173.18852611270506</v>
      </c>
      <c r="G66" s="61"/>
      <c r="H66" s="185">
        <f t="shared" si="4"/>
        <v>1.0281264311755636</v>
      </c>
      <c r="I66" s="185">
        <f t="shared" si="5"/>
        <v>1.0151310887110383</v>
      </c>
      <c r="K66" s="439">
        <f t="shared" ca="1" si="6"/>
        <v>16</v>
      </c>
      <c r="L66" s="440">
        <f t="shared" ca="1" si="7"/>
        <v>0.2540252827188802</v>
      </c>
      <c r="M66" s="436">
        <f t="shared" ca="1" si="8"/>
        <v>2051.8505959961713</v>
      </c>
      <c r="N66" s="440">
        <f t="shared" si="9"/>
        <v>0.33466161096596014</v>
      </c>
      <c r="O66" s="441">
        <f t="shared" si="10"/>
        <v>2575.231474957809</v>
      </c>
    </row>
    <row r="67" spans="1:15">
      <c r="A67" s="434">
        <v>2039</v>
      </c>
      <c r="B67" s="434">
        <v>14</v>
      </c>
      <c r="C67" s="435">
        <v>3.0210609589041103E-2</v>
      </c>
      <c r="D67" s="436">
        <v>175.3639945472809</v>
      </c>
      <c r="E67" s="437">
        <f t="shared" si="11"/>
        <v>3.0210609589041103E-2</v>
      </c>
      <c r="F67" s="438">
        <f t="shared" si="12"/>
        <v>175.3639945472809</v>
      </c>
      <c r="G67" s="61"/>
      <c r="H67" s="185">
        <f t="shared" si="4"/>
        <v>1.027595038096639</v>
      </c>
      <c r="I67" s="185">
        <f t="shared" si="5"/>
        <v>1.0147663341212805</v>
      </c>
      <c r="K67" s="439">
        <f t="shared" ca="1" si="6"/>
        <v>17</v>
      </c>
      <c r="L67" s="440">
        <f t="shared" ca="1" si="7"/>
        <v>0.264780304687737</v>
      </c>
      <c r="M67" s="436">
        <f t="shared" ca="1" si="8"/>
        <v>2111.9109408282884</v>
      </c>
      <c r="N67" s="440">
        <f t="shared" si="9"/>
        <v>0.35454079034382541</v>
      </c>
      <c r="O67" s="441">
        <f t="shared" si="10"/>
        <v>2686.2447645513971</v>
      </c>
    </row>
    <row r="68" spans="1:15">
      <c r="A68" s="434">
        <v>2040</v>
      </c>
      <c r="B68" s="434">
        <v>15</v>
      </c>
      <c r="C68" s="435">
        <v>3.1100169057377058E-2</v>
      </c>
      <c r="D68" s="436">
        <v>178.12284085330455</v>
      </c>
      <c r="E68" s="437">
        <f t="shared" si="11"/>
        <v>3.1100169057377058E-2</v>
      </c>
      <c r="F68" s="438">
        <f t="shared" si="12"/>
        <v>178.12284085330455</v>
      </c>
      <c r="G68" s="61"/>
      <c r="H68" s="185">
        <f t="shared" si="4"/>
        <v>1.0268394610629794</v>
      </c>
      <c r="I68" s="185">
        <f t="shared" si="5"/>
        <v>1.0152467609632116</v>
      </c>
      <c r="K68" s="439">
        <f t="shared" ca="1" si="6"/>
        <v>18</v>
      </c>
      <c r="L68" s="440">
        <f t="shared" ca="1" si="7"/>
        <v>0.27512179823790217</v>
      </c>
      <c r="M68" s="436">
        <f t="shared" ca="1" si="8"/>
        <v>2169.0099862006459</v>
      </c>
      <c r="N68" s="440">
        <f t="shared" si="9"/>
        <v>0.37435897076978802</v>
      </c>
      <c r="O68" s="441">
        <f t="shared" si="10"/>
        <v>2795.6679516230101</v>
      </c>
    </row>
    <row r="69" spans="1:15">
      <c r="A69" s="434">
        <v>2041</v>
      </c>
      <c r="B69" s="434">
        <v>16</v>
      </c>
      <c r="C69" s="435">
        <v>3.1974905821917768E-2</v>
      </c>
      <c r="D69" s="436">
        <v>180.81803335971807</v>
      </c>
      <c r="E69" s="437">
        <f t="shared" si="11"/>
        <v>3.1974905821917768E-2</v>
      </c>
      <c r="F69" s="438">
        <f t="shared" si="12"/>
        <v>180.81803335971807</v>
      </c>
      <c r="G69" s="61"/>
      <c r="H69" s="185">
        <f t="shared" si="4"/>
        <v>1.0249999999999997</v>
      </c>
      <c r="I69" s="185">
        <f t="shared" si="5"/>
        <v>1.0196681102041734</v>
      </c>
      <c r="K69" s="439">
        <f t="shared" ca="1" si="6"/>
        <v>19</v>
      </c>
      <c r="L69" s="440">
        <f t="shared" ca="1" si="7"/>
        <v>0.28504785019868439</v>
      </c>
      <c r="M69" s="436">
        <f t="shared" ca="1" si="8"/>
        <v>2223.5301432277965</v>
      </c>
      <c r="N69" s="440">
        <f t="shared" si="9"/>
        <v>0.39408094643640129</v>
      </c>
      <c r="O69" s="441">
        <f t="shared" si="10"/>
        <v>2903.9935189762427</v>
      </c>
    </row>
    <row r="70" spans="1:15">
      <c r="A70" s="434">
        <v>2042</v>
      </c>
      <c r="B70" s="434">
        <v>17</v>
      </c>
      <c r="C70" s="435">
        <v>3.2857254566210033E-2</v>
      </c>
      <c r="D70" s="436">
        <v>183.48805285546052</v>
      </c>
      <c r="E70" s="437">
        <f t="shared" si="11"/>
        <v>3.2857254566210033E-2</v>
      </c>
      <c r="F70" s="438">
        <f t="shared" si="12"/>
        <v>183.48805285546052</v>
      </c>
      <c r="G70" s="61"/>
      <c r="H70" s="185">
        <f t="shared" si="4"/>
        <v>1.0249999999999999</v>
      </c>
      <c r="I70" s="185">
        <f t="shared" si="5"/>
        <v>1.0198232460689474</v>
      </c>
      <c r="K70" s="439">
        <f t="shared" ca="1" si="6"/>
        <v>20</v>
      </c>
      <c r="L70" s="440">
        <f t="shared" ca="1" si="7"/>
        <v>0.29457514981456767</v>
      </c>
      <c r="M70" s="436">
        <f t="shared" ca="1" si="8"/>
        <v>2275.5958080986811</v>
      </c>
      <c r="N70" s="440">
        <f t="shared" si="9"/>
        <v>0.41370718435706011</v>
      </c>
      <c r="O70" s="441">
        <f t="shared" si="10"/>
        <v>3011.2487925009359</v>
      </c>
    </row>
    <row r="71" spans="1:15">
      <c r="A71" s="434">
        <v>2043</v>
      </c>
      <c r="B71" s="434">
        <v>18</v>
      </c>
      <c r="C71" s="435">
        <v>3.3739125570776227E-2</v>
      </c>
      <c r="D71" s="436">
        <v>186.28565133695287</v>
      </c>
      <c r="E71" s="437">
        <f t="shared" si="11"/>
        <v>3.3739125570776227E-2</v>
      </c>
      <c r="F71" s="438">
        <f t="shared" si="12"/>
        <v>186.28565133695287</v>
      </c>
      <c r="G71" s="61"/>
      <c r="H71" s="185">
        <f t="shared" si="4"/>
        <v>1.0249999999999999</v>
      </c>
      <c r="I71" s="185">
        <f t="shared" si="5"/>
        <v>1.0199746327008166</v>
      </c>
      <c r="K71" s="439">
        <f t="shared" ca="1" si="6"/>
        <v>21</v>
      </c>
      <c r="L71" s="440">
        <f t="shared" ca="1" si="7"/>
        <v>0.30371971588468694</v>
      </c>
      <c r="M71" s="436">
        <f t="shared" ca="1" si="8"/>
        <v>2325.3248626946211</v>
      </c>
      <c r="N71" s="440">
        <f t="shared" si="9"/>
        <v>0.43323814927810406</v>
      </c>
      <c r="O71" s="441">
        <f t="shared" si="10"/>
        <v>3117.4601111597462</v>
      </c>
    </row>
    <row r="72" spans="1:15">
      <c r="A72" s="434">
        <v>2044</v>
      </c>
      <c r="B72" s="434">
        <v>19</v>
      </c>
      <c r="C72" s="435">
        <v>3.4582603710045623E-2</v>
      </c>
      <c r="D72" s="436">
        <v>189.94953805690426</v>
      </c>
      <c r="E72" s="437">
        <f t="shared" si="11"/>
        <v>3.4582603710045623E-2</v>
      </c>
      <c r="F72" s="438">
        <f t="shared" si="12"/>
        <v>189.94953805690426</v>
      </c>
      <c r="G72" s="61"/>
      <c r="H72" s="185">
        <f t="shared" si="4"/>
        <v>1.0249999999999999</v>
      </c>
      <c r="I72" s="185">
        <f t="shared" si="5"/>
        <v>1.0201223163138695</v>
      </c>
      <c r="K72" s="439">
        <f t="shared" ca="1" si="6"/>
        <v>22</v>
      </c>
      <c r="L72" s="440">
        <f t="shared" ca="1" si="7"/>
        <v>0.31249692369616017</v>
      </c>
      <c r="M72" s="436">
        <f t="shared" ca="1" si="8"/>
        <v>2372.8290469464318</v>
      </c>
      <c r="N72" s="440">
        <f t="shared" si="9"/>
        <v>0.45267430368982259</v>
      </c>
      <c r="O72" s="441">
        <f t="shared" si="10"/>
        <v>3222.6528649548686</v>
      </c>
    </row>
    <row r="73" spans="1:15">
      <c r="A73" s="434">
        <v>2045</v>
      </c>
      <c r="B73" s="434">
        <v>20</v>
      </c>
      <c r="C73" s="435">
        <v>3.5447168802796761E-2</v>
      </c>
      <c r="D73" s="436">
        <v>193.71495449048913</v>
      </c>
      <c r="E73" s="437">
        <f t="shared" si="11"/>
        <v>3.5447168802796761E-2</v>
      </c>
      <c r="F73" s="438">
        <f t="shared" si="12"/>
        <v>193.71495449048913</v>
      </c>
      <c r="G73" s="61"/>
      <c r="H73" s="185">
        <f t="shared" si="4"/>
        <v>1.0249999999999999</v>
      </c>
      <c r="I73" s="185">
        <f t="shared" si="5"/>
        <v>1.020266345248952</v>
      </c>
      <c r="K73" s="439">
        <f t="shared" ca="1" si="6"/>
        <v>23</v>
      </c>
      <c r="L73" s="440">
        <f t="shared" ca="1" si="7"/>
        <v>0.32092153087544667</v>
      </c>
      <c r="M73" s="436">
        <f t="shared" ca="1" si="8"/>
        <v>2418.2143081606168</v>
      </c>
      <c r="N73" s="440">
        <f t="shared" si="9"/>
        <v>0.47201610783740655</v>
      </c>
      <c r="O73" s="441">
        <f t="shared" si="10"/>
        <v>3326.8515314220745</v>
      </c>
    </row>
    <row r="74" spans="1:15">
      <c r="A74" s="434">
        <v>2046</v>
      </c>
      <c r="B74" s="434">
        <v>21</v>
      </c>
      <c r="C74" s="435">
        <v>3.6333348022866675E-2</v>
      </c>
      <c r="D74" s="436">
        <v>197.58433955509204</v>
      </c>
      <c r="E74" s="437">
        <f t="shared" si="11"/>
        <v>3.6333348022866675E-2</v>
      </c>
      <c r="F74" s="438">
        <f t="shared" si="12"/>
        <v>197.58433955509204</v>
      </c>
      <c r="G74" s="61"/>
      <c r="H74" s="185">
        <f t="shared" si="4"/>
        <v>1.0249999999999999</v>
      </c>
      <c r="I74" s="185">
        <f t="shared" si="5"/>
        <v>1.0204067697857915</v>
      </c>
      <c r="K74" s="439">
        <f t="shared" ca="1" si="6"/>
        <v>24</v>
      </c>
      <c r="L74" s="440">
        <f t="shared" ca="1" si="7"/>
        <v>0.32900770220119691</v>
      </c>
      <c r="M74" s="436">
        <f t="shared" ca="1" si="8"/>
        <v>2461.5811288287045</v>
      </c>
      <c r="N74" s="440">
        <f t="shared" si="9"/>
        <v>0.49126401973184691</v>
      </c>
      <c r="O74" s="441">
        <f t="shared" si="10"/>
        <v>3430.079710709248</v>
      </c>
    </row>
    <row r="75" spans="1:15">
      <c r="A75" s="434">
        <v>2047</v>
      </c>
      <c r="B75" s="434">
        <v>22</v>
      </c>
      <c r="C75" s="435">
        <v>3.7241681723438336E-2</v>
      </c>
      <c r="D75" s="436">
        <v>201.5601941342866</v>
      </c>
      <c r="E75" s="437">
        <f t="shared" si="11"/>
        <v>3.7241681723438336E-2</v>
      </c>
      <c r="F75" s="438">
        <f t="shared" si="12"/>
        <v>201.5601941342866</v>
      </c>
      <c r="G75" s="61"/>
    </row>
    <row r="76" spans="1:15">
      <c r="A76" s="434">
        <v>2048</v>
      </c>
      <c r="B76" s="434">
        <v>23</v>
      </c>
      <c r="C76" s="435">
        <v>3.8172723766524287E-2</v>
      </c>
      <c r="D76" s="436">
        <v>205.64508261705785</v>
      </c>
      <c r="E76" s="437">
        <f t="shared" si="11"/>
        <v>3.8172723766524287E-2</v>
      </c>
      <c r="F76" s="438">
        <f t="shared" si="12"/>
        <v>205.64508261705785</v>
      </c>
      <c r="G76" s="61"/>
    </row>
    <row r="77" spans="1:15">
      <c r="A77" s="434">
        <v>2049</v>
      </c>
      <c r="B77" s="434">
        <v>24</v>
      </c>
      <c r="C77" s="435">
        <v>3.9127041860687391E-2</v>
      </c>
      <c r="D77" s="436">
        <v>209.84163447560422</v>
      </c>
      <c r="E77" s="437">
        <f t="shared" si="11"/>
        <v>3.9127041860687391E-2</v>
      </c>
      <c r="F77" s="438">
        <f t="shared" si="12"/>
        <v>209.84163447560422</v>
      </c>
      <c r="G77" s="61"/>
      <c r="I77" s="34"/>
      <c r="J77" s="19"/>
      <c r="K77" s="19"/>
      <c r="L77" s="20"/>
      <c r="M77" s="20"/>
      <c r="N77" s="20"/>
    </row>
    <row r="78" spans="1:15">
      <c r="B78" s="186" t="s">
        <v>753</v>
      </c>
      <c r="C78" s="187">
        <f ca="1">C53+NPV($B44,C54:C77)</f>
        <v>0.32900770220119668</v>
      </c>
      <c r="D78" s="442">
        <f ca="1">D53+NPV($B$44,D54:D77)</f>
        <v>2461.5811288287032</v>
      </c>
      <c r="E78" s="437">
        <f>E53+NPV(B46,E54:E77)</f>
        <v>0.49126401973184647</v>
      </c>
      <c r="F78" s="442">
        <f>F53+NPV(B46,F54:F77)</f>
        <v>3430.0797107092458</v>
      </c>
      <c r="I78" s="34"/>
      <c r="J78" s="19"/>
      <c r="K78" s="19"/>
      <c r="L78" s="20"/>
      <c r="M78" s="20"/>
      <c r="N78" s="20"/>
    </row>
    <row r="81" spans="8:10">
      <c r="H81" s="62"/>
      <c r="I81" s="9"/>
      <c r="J81" s="9"/>
    </row>
  </sheetData>
  <sheetProtection algorithmName="SHA-512" hashValue="W1cyGqSKwqbiX3yKS4VwxmmHA3GJCFwDQwK9EzbkSCpIzmQLQWUTNIkS6us6TdH1fVjgMD0Srsz8Re92qVtXyQ==" saltValue="WtciEz2cLtHZJMSRV7KVBw==" spinCount="100000" sheet="1" objects="1" scenarios="1"/>
  <mergeCells count="6">
    <mergeCell ref="B50:F50"/>
    <mergeCell ref="K47:O47"/>
    <mergeCell ref="C51:D51"/>
    <mergeCell ref="E51:F51"/>
    <mergeCell ref="L48:M48"/>
    <mergeCell ref="N48:O48"/>
  </mergeCells>
  <pageMargins left="0" right="0" top="0" bottom="0"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21986-7086-461A-8D3E-C3582F6F7E1F}">
  <sheetPr codeName="Sheet77">
    <tabColor theme="9" tint="0.59999389629810485"/>
  </sheetPr>
  <dimension ref="A1:AS250"/>
  <sheetViews>
    <sheetView zoomScale="85" zoomScaleNormal="85" workbookViewId="0"/>
  </sheetViews>
  <sheetFormatPr defaultColWidth="0" defaultRowHeight="15"/>
  <cols>
    <col min="1" max="1" width="17.42578125" bestFit="1" customWidth="1"/>
    <col min="2" max="2" width="63.42578125" customWidth="1"/>
    <col min="3" max="3" width="8.140625" bestFit="1" customWidth="1"/>
    <col min="4" max="4" width="9.140625" bestFit="1" customWidth="1"/>
    <col min="5" max="5" width="11.7109375" bestFit="1" customWidth="1"/>
    <col min="6" max="6" width="14.85546875" bestFit="1" customWidth="1"/>
    <col min="7" max="7" width="28.140625" bestFit="1" customWidth="1"/>
    <col min="8" max="8" width="22.140625" bestFit="1" customWidth="1"/>
    <col min="9" max="9" width="18.5703125" bestFit="1" customWidth="1"/>
    <col min="10" max="10" width="9.28515625" bestFit="1" customWidth="1"/>
    <col min="11" max="11" width="11.140625" bestFit="1" customWidth="1"/>
    <col min="12" max="12" width="16.7109375" bestFit="1" customWidth="1"/>
    <col min="13" max="13" width="10.28515625" bestFit="1" customWidth="1"/>
    <col min="14" max="14" width="17" bestFit="1" customWidth="1"/>
    <col min="15" max="15" width="15.7109375" bestFit="1" customWidth="1"/>
    <col min="16" max="16" width="16.7109375" bestFit="1" customWidth="1"/>
    <col min="17" max="17" width="17.85546875" bestFit="1" customWidth="1"/>
    <col min="18" max="18" width="11.140625" bestFit="1" customWidth="1"/>
    <col min="19" max="19" width="8.42578125" bestFit="1" customWidth="1"/>
    <col min="20" max="39" width="4.7109375" customWidth="1"/>
    <col min="40" max="40" width="38.140625" bestFit="1" customWidth="1"/>
    <col min="41" max="45" width="4.7109375" customWidth="1"/>
    <col min="46" max="16384" width="4.7109375" hidden="1"/>
  </cols>
  <sheetData>
    <row r="1" spans="1:40">
      <c r="A1" s="464" t="s">
        <v>3</v>
      </c>
      <c r="B1" s="465" t="str">
        <f>VERSION</f>
        <v>v3.0.0</v>
      </c>
      <c r="G1" s="466" t="s">
        <v>55</v>
      </c>
      <c r="H1" s="11">
        <f ca="1">IF(EXPIRATION&lt;&gt;"","---",IF(I32=0,0,I32))</f>
        <v>0</v>
      </c>
    </row>
    <row r="2" spans="1:40" ht="15.75" customHeight="1">
      <c r="A2" s="464" t="s">
        <v>0</v>
      </c>
      <c r="B2" s="465" t="str">
        <f>PNAME</f>
        <v>Evergy</v>
      </c>
      <c r="G2" s="466" t="s">
        <v>56</v>
      </c>
      <c r="H2" s="11" t="str">
        <f ca="1">IF(EXPIRATION&lt;&gt;"","---",IF(M32=0,"---",IF(PAYALL_N&lt;=2,"---",IF(CBALL_N&lt;1,"---",INCENTOTAL_N))))</f>
        <v>---</v>
      </c>
      <c r="I2" s="59" t="s">
        <v>1668</v>
      </c>
    </row>
    <row r="3" spans="1:40" ht="15" customHeight="1">
      <c r="A3" s="464" t="s">
        <v>1854</v>
      </c>
      <c r="B3" s="467" t="str">
        <f ca="1">APP_TYPE</f>
        <v>New Con App</v>
      </c>
      <c r="G3" s="466" t="s">
        <v>178</v>
      </c>
      <c r="H3" s="11" t="str">
        <f ca="1">IF(EXPIRATION&lt;&gt;"", PROJSTATEXP,
IF(MEASTOTALALL_N=0, PROJSTATMEASURE,
IF(AND(ACTIVECOMPL_N &lt;&gt; "Yes", MEASTOTALCUS_N&gt;0), PROJSTATPREAPPROVE,"")))</f>
        <v>Enter Measures</v>
      </c>
      <c r="AN3" s="68"/>
    </row>
    <row r="4" spans="1:40" ht="15.75" customHeight="1">
      <c r="A4" s="464" t="s">
        <v>1015</v>
      </c>
      <c r="B4" s="11" t="str">
        <f>TRANSFERID</f>
        <v>Evergy</v>
      </c>
      <c r="G4" s="466" t="s">
        <v>182</v>
      </c>
      <c r="H4" s="468">
        <f ca="1">SUM(C76,C82,C145,C184,C211,C218,C234)/SUM(D76,D82,D145,D184,D211,D218,D234)</f>
        <v>0</v>
      </c>
    </row>
    <row r="5" spans="1:40">
      <c r="A5" s="464" t="s">
        <v>1855</v>
      </c>
      <c r="B5" s="469">
        <f>EXPIRATION_DATE</f>
        <v>46022</v>
      </c>
      <c r="G5" s="466" t="s">
        <v>2171</v>
      </c>
      <c r="H5" s="11"/>
    </row>
    <row r="6" spans="1:40">
      <c r="A6" s="464" t="s">
        <v>1856</v>
      </c>
      <c r="B6" s="469" t="str">
        <f ca="1">EXPIRATION</f>
        <v/>
      </c>
    </row>
    <row r="8" spans="1:40">
      <c r="A8" s="470" t="s">
        <v>1</v>
      </c>
      <c r="B8" s="471" t="s">
        <v>2</v>
      </c>
      <c r="G8" s="472" t="str">
        <f>MAIN3_N</f>
        <v>Equipment Input</v>
      </c>
      <c r="H8" s="472" t="s">
        <v>1042</v>
      </c>
      <c r="I8" s="472" t="s">
        <v>283</v>
      </c>
      <c r="J8" s="472" t="s">
        <v>284</v>
      </c>
      <c r="K8" s="472" t="s">
        <v>835</v>
      </c>
      <c r="L8" s="472" t="s">
        <v>832</v>
      </c>
      <c r="M8" s="472" t="s">
        <v>20</v>
      </c>
      <c r="N8" s="472" t="s">
        <v>289</v>
      </c>
      <c r="O8" s="472" t="s">
        <v>290</v>
      </c>
      <c r="P8" s="472" t="s">
        <v>291</v>
      </c>
      <c r="Q8" s="472" t="s">
        <v>1903</v>
      </c>
      <c r="R8" s="472" t="s">
        <v>1324</v>
      </c>
    </row>
    <row r="9" spans="1:40">
      <c r="A9" s="473" t="s">
        <v>1379</v>
      </c>
      <c r="B9" s="474"/>
      <c r="G9" s="475" t="str">
        <f>B28</f>
        <v>Incentive Categories</v>
      </c>
      <c r="H9" s="476"/>
      <c r="I9" s="476"/>
      <c r="J9" s="477"/>
      <c r="K9" s="478"/>
      <c r="L9" s="478"/>
      <c r="M9" s="478"/>
      <c r="N9" s="11"/>
      <c r="O9" s="477"/>
      <c r="P9" s="478"/>
      <c r="Q9" s="478"/>
      <c r="R9" s="478"/>
    </row>
    <row r="10" spans="1:40">
      <c r="A10" s="479" t="s">
        <v>1371</v>
      </c>
      <c r="B10" s="480" t="s">
        <v>202</v>
      </c>
      <c r="G10" s="475" t="str">
        <f>B29&amp;"-LPD"</f>
        <v>Interior Lighting-LPD</v>
      </c>
      <c r="H10" s="476">
        <f>COUNT('xN03-S03-1b'!$AK$18:$AM$199)</f>
        <v>0</v>
      </c>
      <c r="I10" s="476">
        <f>SUM('xN03-S03-1b'!AK18:AM199)</f>
        <v>0</v>
      </c>
      <c r="J10" s="477">
        <f>SUM('xN03-S03-1b'!BF18:BF199)</f>
        <v>0</v>
      </c>
      <c r="K10" s="563">
        <f>SUM('xN03-S03-1b'!AF18:AF199)</f>
        <v>0</v>
      </c>
      <c r="L10" s="478">
        <f>SUM('xN03-S03-1b'!AH18:AH199)</f>
        <v>0</v>
      </c>
      <c r="M10" s="478">
        <f>SUM('xN03-S03-1b'!$AN$18:$AQ$199)</f>
        <v>0</v>
      </c>
      <c r="N10" s="565">
        <f>SUM('xN03-S03-1b'!AK18:AM199)</f>
        <v>0</v>
      </c>
      <c r="O10" s="566">
        <f>SUM('xN03-S03-1b'!BF18:BF199)</f>
        <v>0</v>
      </c>
      <c r="P10" s="563">
        <f>SUM('xN03-S03-1b'!AH18:AJ199)</f>
        <v>0</v>
      </c>
      <c r="Q10" s="478">
        <f>SUM('xN03-S03-1b'!BQ18:BQ29)</f>
        <v>0</v>
      </c>
      <c r="R10" s="478">
        <f>SUM('xN03-S03-1b'!BP18:BP199)</f>
        <v>0</v>
      </c>
      <c r="S10" s="59" t="s">
        <v>1366</v>
      </c>
    </row>
    <row r="11" spans="1:40">
      <c r="A11" s="479" t="s">
        <v>1372</v>
      </c>
      <c r="B11" s="480" t="s">
        <v>768</v>
      </c>
      <c r="G11" s="475" t="str">
        <f>B30&amp;"-Grow Facility"</f>
        <v>Interior Lighting-Grow Facility</v>
      </c>
      <c r="H11" s="476">
        <f>COUNT('xN03-S03-2b'!$AK$18:$AM$199)</f>
        <v>0</v>
      </c>
      <c r="I11" s="476">
        <f>SUM('xN03-S03-2b'!AK18:AM199)</f>
        <v>0</v>
      </c>
      <c r="J11" s="477">
        <f>SUM('xN03-S03-2b'!BF18:BF199)</f>
        <v>0</v>
      </c>
      <c r="K11" s="563">
        <f>SUM('xN03-S03-2b'!AF18:AF199)</f>
        <v>0</v>
      </c>
      <c r="L11" s="478">
        <f>SUM('xN03-S03-2b'!AH18:AH199)</f>
        <v>0</v>
      </c>
      <c r="M11" s="478">
        <f>SUM('xN03-S03-2b'!$AN$18:$AQ$199)</f>
        <v>0</v>
      </c>
      <c r="N11" s="565">
        <f>SUM('xN03-S03-2b'!AK18:AM199)</f>
        <v>0</v>
      </c>
      <c r="O11" s="566">
        <f>SUM('xN03-S03-2b'!BF18:BF199)</f>
        <v>0</v>
      </c>
      <c r="P11" s="563">
        <f>SUM('xN03-S03-2b'!AH18:AJ199)</f>
        <v>0</v>
      </c>
      <c r="Q11" s="478">
        <f>SUM('xN03-S03-2b'!BQ18:BQ25)</f>
        <v>0</v>
      </c>
      <c r="R11" s="478">
        <f>SUM('xN03-S03-2b'!BP18:BP199)</f>
        <v>0</v>
      </c>
      <c r="S11" s="59" t="s">
        <v>1366</v>
      </c>
    </row>
    <row r="12" spans="1:40">
      <c r="A12" s="479" t="s">
        <v>1373</v>
      </c>
      <c r="B12" s="480" t="s">
        <v>16</v>
      </c>
      <c r="G12" s="475"/>
      <c r="H12" s="476"/>
      <c r="I12" s="476"/>
      <c r="J12" s="477"/>
      <c r="K12" s="478"/>
      <c r="L12" s="478"/>
      <c r="M12" s="478"/>
      <c r="N12" s="11"/>
      <c r="O12" s="477"/>
      <c r="P12" s="478"/>
      <c r="Q12" s="478"/>
      <c r="R12" s="478"/>
      <c r="S12" s="59"/>
    </row>
    <row r="13" spans="1:40">
      <c r="A13" s="479" t="s">
        <v>1374</v>
      </c>
      <c r="B13" s="480"/>
      <c r="G13" s="475" t="str">
        <f>B31</f>
        <v>HVAC</v>
      </c>
      <c r="H13" s="564">
        <f>COUNT('N03-S04'!$AO$18:$AQ$199)</f>
        <v>0</v>
      </c>
      <c r="I13" s="564">
        <f>SUM('N03-S04'!AO18:AQ199)</f>
        <v>0</v>
      </c>
      <c r="J13" s="477">
        <f>SUM('N03-S04'!BG18:BG199)</f>
        <v>0</v>
      </c>
      <c r="K13" s="478">
        <f>SUM('N03-S04'!AY88:AY199)</f>
        <v>0</v>
      </c>
      <c r="L13" s="563">
        <f>SUM('N03-S04'!BS18:BS199)</f>
        <v>0</v>
      </c>
      <c r="M13" s="563">
        <f>SUM('N03-S04'!$AR$18:$AU$199)</f>
        <v>0</v>
      </c>
      <c r="N13" s="565">
        <f>SUM('N03-S04'!$AO$18:$AQ$199)</f>
        <v>0</v>
      </c>
      <c r="O13" s="566">
        <f>SUM('N03-S04'!BG18:BG199)</f>
        <v>0</v>
      </c>
      <c r="P13" s="563">
        <f>SUM('N03-S04'!AY88:AY199)</f>
        <v>0</v>
      </c>
      <c r="Q13" s="478">
        <f>SUM('N03-S04'!BT18:BT57)</f>
        <v>0</v>
      </c>
      <c r="R13" s="478">
        <f>SUM('N03-S04'!BM18:BM199)</f>
        <v>0</v>
      </c>
      <c r="S13" s="59" t="s">
        <v>1366</v>
      </c>
    </row>
    <row r="14" spans="1:40">
      <c r="A14" s="479" t="s">
        <v>1375</v>
      </c>
      <c r="B14" s="480"/>
      <c r="G14" s="475" t="str">
        <f>B32</f>
        <v>Refrigeration</v>
      </c>
      <c r="H14" s="564">
        <f>COUNT('zN03-S05'!$AO$18:$AQ$199)</f>
        <v>0</v>
      </c>
      <c r="I14" s="564">
        <f>SUM('zN03-S05'!AO18:AQ199)</f>
        <v>0</v>
      </c>
      <c r="J14" s="477">
        <f>SUM('zN03-S05'!BB38:BB199)</f>
        <v>0</v>
      </c>
      <c r="K14" s="478">
        <f>SUM('zN03-S05'!AY38:AY199)</f>
        <v>0</v>
      </c>
      <c r="L14" s="478">
        <f>SUM('zN03-S05'!BO18:BO199)</f>
        <v>0</v>
      </c>
      <c r="M14" s="563">
        <f>SUM('zN03-S05'!$AR$18:$AU$199)</f>
        <v>0</v>
      </c>
      <c r="N14" s="565">
        <f>SUM('zN03-S05'!$AO$18:$AQ$199)</f>
        <v>0</v>
      </c>
      <c r="O14" s="566">
        <f>SUM('zN03-S05'!BB38:BB199)</f>
        <v>0</v>
      </c>
      <c r="P14" s="563">
        <f>SUM('zN03-S05'!AY38:AY199)</f>
        <v>0</v>
      </c>
      <c r="Q14" s="478">
        <f>SUM('zN03-S05'!BP18:BP37)</f>
        <v>0</v>
      </c>
      <c r="R14" s="478">
        <f>SUM('zN03-S05'!BM18:BM199)</f>
        <v>0</v>
      </c>
      <c r="S14" s="59" t="s">
        <v>1367</v>
      </c>
    </row>
    <row r="15" spans="1:40">
      <c r="A15" s="479" t="s">
        <v>1376</v>
      </c>
      <c r="B15" s="480"/>
      <c r="G15" s="475" t="str">
        <f>B33</f>
        <v>Water Heating / Food Services</v>
      </c>
      <c r="H15" s="564">
        <f>COUNT('N03-S06'!$AO$18:$AQ$199)</f>
        <v>0</v>
      </c>
      <c r="I15" s="564">
        <f>SUM('N03-S06'!AO18:AQ199)</f>
        <v>0</v>
      </c>
      <c r="J15" s="477">
        <f>SUM('N03-S06'!BB38:BB199)</f>
        <v>0</v>
      </c>
      <c r="K15" s="478">
        <f>SUM('N03-S06'!AY38:AY199)</f>
        <v>0</v>
      </c>
      <c r="L15" s="478">
        <f>SUM('N03-S06'!BO18:BO199)</f>
        <v>0</v>
      </c>
      <c r="M15" s="563">
        <f>SUM('N03-S06'!$AR$18:$AU$199)</f>
        <v>0</v>
      </c>
      <c r="N15" s="565">
        <f>SUM('N03-S06'!$AO$18:$AQ$199)</f>
        <v>0</v>
      </c>
      <c r="O15" s="566">
        <f>SUM('N03-S06'!BB38:BB199)</f>
        <v>0</v>
      </c>
      <c r="P15" s="563">
        <f>SUM('N03-S06'!AY38:AY199)</f>
        <v>0</v>
      </c>
      <c r="Q15" s="478">
        <f>SUM('N03-S06'!BP18:BP37)</f>
        <v>0</v>
      </c>
      <c r="R15" s="478">
        <f>SUM('N03-S06'!BM18:BM199)</f>
        <v>0</v>
      </c>
      <c r="S15" s="59" t="s">
        <v>1367</v>
      </c>
    </row>
    <row r="16" spans="1:40">
      <c r="A16" s="479" t="s">
        <v>1377</v>
      </c>
      <c r="B16" s="480"/>
      <c r="G16" s="475"/>
      <c r="H16" s="476"/>
      <c r="I16" s="476"/>
      <c r="J16" s="477"/>
      <c r="K16" s="478"/>
      <c r="L16" s="478"/>
      <c r="M16" s="478"/>
      <c r="N16" s="11"/>
      <c r="O16" s="477"/>
      <c r="P16" s="478"/>
      <c r="Q16" s="478"/>
      <c r="R16" s="478"/>
      <c r="S16" s="59"/>
    </row>
    <row r="17" spans="1:20">
      <c r="A17" s="479" t="s">
        <v>1378</v>
      </c>
      <c r="B17" s="481"/>
      <c r="G17" s="482" t="str">
        <f t="shared" ref="G17:G22" si="0">B38</f>
        <v>HVAC</v>
      </c>
      <c r="H17" s="476">
        <f>COUNT('N04-S01'!$AK$18:$AM$199)</f>
        <v>0</v>
      </c>
      <c r="I17" s="476">
        <f>SUM('N04-S01'!$AK$18:$AM$199)</f>
        <v>0</v>
      </c>
      <c r="J17" s="477">
        <f>SUM('N04-S01'!$BH$18:$BH$199)</f>
        <v>0</v>
      </c>
      <c r="K17" s="478">
        <f>SUM('N04-S01'!$AE$18:$AE$199)</f>
        <v>0</v>
      </c>
      <c r="L17" s="478">
        <f>SUM('N04-S01'!$AH$18:$AJ$199)</f>
        <v>0</v>
      </c>
      <c r="M17" s="478">
        <f>SUM('N04-S01'!$AN$18:$AQ$199)</f>
        <v>0</v>
      </c>
      <c r="N17" s="565">
        <f>SUM('N04-S01'!$AK$18:$AM$199)</f>
        <v>0</v>
      </c>
      <c r="O17" s="566">
        <f>SUM('N04-S01'!$BH$18:$BH$199)</f>
        <v>0</v>
      </c>
      <c r="P17" s="563">
        <f>SUM('N04-S01'!$AE$18:$AE$199)</f>
        <v>0</v>
      </c>
      <c r="Q17" s="478">
        <f>SUM('N04-S01'!BS18:BS37)</f>
        <v>0</v>
      </c>
      <c r="R17" s="478">
        <f>SUM('N04-S01'!$BR$18:$BR$199)</f>
        <v>0</v>
      </c>
      <c r="S17" s="59" t="s">
        <v>1366</v>
      </c>
    </row>
    <row r="18" spans="1:20">
      <c r="A18" s="473" t="s">
        <v>1380</v>
      </c>
      <c r="B18" s="474"/>
      <c r="G18" s="482" t="str">
        <f t="shared" si="0"/>
        <v>Motors and Drives</v>
      </c>
      <c r="H18" s="476">
        <f>COUNT('N04-S02'!$AK$18:$AM$199)</f>
        <v>0</v>
      </c>
      <c r="I18" s="476">
        <f>SUM('N04-S02'!$AK$18:$AM$199)</f>
        <v>0</v>
      </c>
      <c r="J18" s="477">
        <f>SUM('N04-S02'!$BH$18:$BH$199)</f>
        <v>0</v>
      </c>
      <c r="K18" s="478">
        <f>SUM('N04-S02'!$AE$18:$AE$199)</f>
        <v>0</v>
      </c>
      <c r="L18" s="478">
        <f>SUM('N04-S02'!$AH$18:$AJ$199)</f>
        <v>0</v>
      </c>
      <c r="M18" s="478">
        <f>SUM('N04-S02'!$AN$18:$AQ$199)</f>
        <v>0</v>
      </c>
      <c r="N18" s="565">
        <f>SUM('N04-S02'!$AK$18:$AM$199)</f>
        <v>0</v>
      </c>
      <c r="O18" s="566">
        <f>SUM('N04-S02'!$BH$18:$BH$199)</f>
        <v>0</v>
      </c>
      <c r="P18" s="563">
        <f>SUM('N04-S02'!$AE$18:$AE$199)</f>
        <v>0</v>
      </c>
      <c r="Q18" s="478">
        <f>SUM('N04-S02'!BS18:BS37)</f>
        <v>0</v>
      </c>
      <c r="R18" s="478">
        <f>SUM('N04-S02'!$BR$18:$BR$199)</f>
        <v>0</v>
      </c>
      <c r="S18" s="59" t="s">
        <v>1366</v>
      </c>
    </row>
    <row r="19" spans="1:20">
      <c r="A19" s="479" t="s">
        <v>1392</v>
      </c>
      <c r="B19" s="480" t="s">
        <v>5</v>
      </c>
      <c r="G19" s="482" t="str">
        <f t="shared" si="0"/>
        <v>Compressed Air / Process</v>
      </c>
      <c r="H19" s="476">
        <f>COUNT('N04-S03'!$AK$18:$AM$199)</f>
        <v>0</v>
      </c>
      <c r="I19" s="476">
        <f>SUM('N04-S03'!$AK$18:$AM$199)</f>
        <v>0</v>
      </c>
      <c r="J19" s="477">
        <f>SUM('N04-S03'!$BH$18:$BH$199)</f>
        <v>0</v>
      </c>
      <c r="K19" s="478">
        <f>SUM('N04-S03'!$AE$18:$AE$199)</f>
        <v>0</v>
      </c>
      <c r="L19" s="478">
        <f>SUM('N04-S03'!$AH$18:$AJ$199)</f>
        <v>0</v>
      </c>
      <c r="M19" s="478">
        <f>SUM('N04-S03'!$AN$18:$AQ$199)</f>
        <v>0</v>
      </c>
      <c r="N19" s="565">
        <f>SUM('N04-S03'!$AK$18:$AM$199)</f>
        <v>0</v>
      </c>
      <c r="O19" s="566">
        <f>SUM('N04-S03'!$BH$18:$BH$199)</f>
        <v>0</v>
      </c>
      <c r="P19" s="563">
        <f>SUM('N04-S03'!$AE$18:$AE$199)</f>
        <v>0</v>
      </c>
      <c r="Q19" s="478">
        <f>SUM('N04-S03'!BS18:BS37)</f>
        <v>0</v>
      </c>
      <c r="R19" s="478">
        <f>SUM('N04-S03'!$BR$18:$BR$199)</f>
        <v>0</v>
      </c>
      <c r="S19" s="59" t="s">
        <v>1366</v>
      </c>
    </row>
    <row r="20" spans="1:20">
      <c r="A20" s="479" t="s">
        <v>1386</v>
      </c>
      <c r="B20" s="480" t="s">
        <v>1440</v>
      </c>
      <c r="G20" s="482" t="str">
        <f t="shared" si="0"/>
        <v>Refrigeration</v>
      </c>
      <c r="H20" s="476">
        <f>COUNT('N04-S04'!$AK$18:$AM$199)</f>
        <v>0</v>
      </c>
      <c r="I20" s="476">
        <f>SUM('N04-S04'!$AK$18:$AM$199)</f>
        <v>0</v>
      </c>
      <c r="J20" s="477">
        <f>SUM('N04-S04'!$BH$18:$BH$199)</f>
        <v>0</v>
      </c>
      <c r="K20" s="478">
        <f>SUM('N04-S04'!$AE$18:$AE$199)</f>
        <v>0</v>
      </c>
      <c r="L20" s="478">
        <f>SUM('N04-S04'!$AH$18:$AJ$199)</f>
        <v>0</v>
      </c>
      <c r="M20" s="478">
        <f>SUM('N04-S04'!$AN$18:$AQ$199)</f>
        <v>0</v>
      </c>
      <c r="N20" s="565">
        <f>SUM('N04-S04'!$AK$18:$AM$199)</f>
        <v>0</v>
      </c>
      <c r="O20" s="566">
        <f>SUM('N04-S04'!$BH$18:$BH$199)</f>
        <v>0</v>
      </c>
      <c r="P20" s="563">
        <f>SUM('N04-S04'!$AE$18:$AE$199)</f>
        <v>0</v>
      </c>
      <c r="Q20" s="478">
        <f>SUM('N04-S04'!BS18:BS37)</f>
        <v>0</v>
      </c>
      <c r="R20" s="478">
        <f>SUM('N04-S04'!$BR$18:$BR$199)</f>
        <v>0</v>
      </c>
      <c r="S20" s="59" t="s">
        <v>1366</v>
      </c>
    </row>
    <row r="21" spans="1:20">
      <c r="A21" s="479" t="s">
        <v>1387</v>
      </c>
      <c r="B21" s="480" t="s">
        <v>1436</v>
      </c>
      <c r="G21" s="482" t="str">
        <f t="shared" si="0"/>
        <v>Water Heating / Food Services</v>
      </c>
      <c r="H21" s="476">
        <f>COUNT('N04-S05'!$AK$18:$AM$199)</f>
        <v>0</v>
      </c>
      <c r="I21" s="476">
        <f>SUM('N04-S05'!$AK$18:$AM$199)</f>
        <v>0</v>
      </c>
      <c r="J21" s="477">
        <f>SUM('N04-S05'!$BH$18:$BH$199)</f>
        <v>0</v>
      </c>
      <c r="K21" s="478">
        <f>SUM('N04-S05'!$AE$18:$AE$199)</f>
        <v>0</v>
      </c>
      <c r="L21" s="478">
        <f>SUM('N04-S05'!$AH$18:$AJ$199)</f>
        <v>0</v>
      </c>
      <c r="M21" s="478">
        <f>SUM('N04-S05'!$AN$18:$AQ$199)</f>
        <v>0</v>
      </c>
      <c r="N21" s="565">
        <f>SUM('N04-S05'!$AK$18:$AM$199)</f>
        <v>0</v>
      </c>
      <c r="O21" s="566">
        <f>SUM('N04-S05'!$BH$18:$BH$199)</f>
        <v>0</v>
      </c>
      <c r="P21" s="563">
        <f>SUM('N04-S05'!$AE$18:$AE$199)</f>
        <v>0</v>
      </c>
      <c r="Q21" s="478">
        <f>SUM('N04-S05'!BS18:BS37)</f>
        <v>0</v>
      </c>
      <c r="R21" s="478">
        <f>SUM('N04-S05'!$BR$18:$BR$199)</f>
        <v>0</v>
      </c>
      <c r="S21" s="59" t="s">
        <v>1366</v>
      </c>
    </row>
    <row r="22" spans="1:20">
      <c r="A22" s="483" t="s">
        <v>1388</v>
      </c>
      <c r="B22" s="484" t="s">
        <v>1441</v>
      </c>
      <c r="G22" s="482" t="str">
        <f t="shared" si="0"/>
        <v>Miscellaneous</v>
      </c>
      <c r="H22" s="476">
        <f>COUNT('N04-S06'!$AK$18:$AM$199)</f>
        <v>0</v>
      </c>
      <c r="I22" s="476">
        <f>SUM('N04-S06'!$AK$18:$AM$199)</f>
        <v>0</v>
      </c>
      <c r="J22" s="477">
        <f>SUM('N04-S06'!$BH$18:$BH$199)</f>
        <v>0</v>
      </c>
      <c r="K22" s="478">
        <f>SUM('N04-S06'!$AE$18:$AE$199)</f>
        <v>0</v>
      </c>
      <c r="L22" s="478">
        <f>SUM('N04-S06'!$AH$18:$AJ$199)</f>
        <v>0</v>
      </c>
      <c r="M22" s="478">
        <f>SUM('N04-S06'!$AN$18:$AQ$199)</f>
        <v>0</v>
      </c>
      <c r="N22" s="565">
        <f>SUM('N04-S06'!$AK$18:$AM$199)</f>
        <v>0</v>
      </c>
      <c r="O22" s="566">
        <f>SUM('N04-S06'!$BH$18:$BH$199)</f>
        <v>0</v>
      </c>
      <c r="P22" s="563">
        <f>SUM('N04-S06'!$AE$18:$AE$199)</f>
        <v>0</v>
      </c>
      <c r="Q22" s="478">
        <f>SUM('N04-S06'!BS18:BS25)</f>
        <v>0</v>
      </c>
      <c r="R22" s="478">
        <f>SUM('N04-S06'!$BR$18:$BR$199)</f>
        <v>0</v>
      </c>
    </row>
    <row r="23" spans="1:20">
      <c r="A23" s="483" t="s">
        <v>1389</v>
      </c>
      <c r="B23" s="485"/>
      <c r="G23" s="475"/>
      <c r="H23" s="476"/>
      <c r="I23" s="476"/>
      <c r="J23" s="477"/>
      <c r="K23" s="478"/>
      <c r="L23" s="478"/>
      <c r="M23" s="478"/>
      <c r="N23" s="11"/>
      <c r="O23" s="477"/>
      <c r="P23" s="478"/>
      <c r="Q23" s="478"/>
      <c r="R23" s="478"/>
    </row>
    <row r="24" spans="1:20">
      <c r="A24" s="483" t="s">
        <v>1390</v>
      </c>
      <c r="B24" s="484"/>
      <c r="G24" s="482" t="str">
        <f>B46</f>
        <v>Whole Building Performance</v>
      </c>
      <c r="H24" s="476">
        <f>IF(I24&gt;0,1,0)</f>
        <v>0</v>
      </c>
      <c r="I24" s="476">
        <f>SUM('N04-S09'!AY18)</f>
        <v>0</v>
      </c>
      <c r="J24" s="477">
        <f>SUM('N04-S09'!AZ18)</f>
        <v>0</v>
      </c>
      <c r="K24" s="478">
        <f>SUM('N04-S09'!Y18:AB19)</f>
        <v>0</v>
      </c>
      <c r="L24" s="478">
        <f>K24</f>
        <v>0</v>
      </c>
      <c r="M24" s="478">
        <f>SUM('N04-S09'!$AN$18:$AQ$19)</f>
        <v>0</v>
      </c>
      <c r="N24" s="565">
        <f>SUM('N04-S09'!AI18:AK19)</f>
        <v>0</v>
      </c>
      <c r="O24" s="566">
        <f>SUM('N04-S09'!AL18:AM19)</f>
        <v>0</v>
      </c>
      <c r="P24" s="563">
        <f>SUM('N04-S09'!Y18:AB19)</f>
        <v>0</v>
      </c>
      <c r="Q24" s="478">
        <f>SUM('N04-S09'!BC18:BC19)</f>
        <v>0</v>
      </c>
      <c r="R24" s="478"/>
    </row>
    <row r="25" spans="1:20">
      <c r="A25" s="483" t="s">
        <v>1391</v>
      </c>
      <c r="B25" s="484"/>
      <c r="G25" s="475"/>
      <c r="H25" s="476"/>
      <c r="I25" s="476"/>
      <c r="J25" s="477"/>
      <c r="K25" s="478"/>
      <c r="L25" s="478"/>
      <c r="M25" s="478"/>
      <c r="N25" s="11"/>
      <c r="O25" s="477"/>
      <c r="P25" s="478"/>
      <c r="Q25" s="478"/>
      <c r="R25" s="478"/>
    </row>
    <row r="26" spans="1:20">
      <c r="A26" s="483" t="s">
        <v>1393</v>
      </c>
      <c r="B26" s="486"/>
      <c r="G26" s="482"/>
      <c r="H26" s="476"/>
      <c r="I26" s="476"/>
      <c r="J26" s="477"/>
      <c r="K26" s="478"/>
      <c r="L26" s="478"/>
      <c r="M26" s="478"/>
      <c r="N26" s="11"/>
      <c r="O26" s="477"/>
      <c r="P26" s="478"/>
      <c r="Q26" s="478"/>
      <c r="R26" s="478"/>
      <c r="S26" s="487" t="s">
        <v>48</v>
      </c>
      <c r="T26" s="487" t="s">
        <v>198</v>
      </c>
    </row>
    <row r="27" spans="1:20">
      <c r="A27" s="488" t="s">
        <v>1381</v>
      </c>
      <c r="B27" s="494" t="s">
        <v>778</v>
      </c>
      <c r="G27" s="487" t="s">
        <v>1632</v>
      </c>
      <c r="H27" s="489">
        <f t="shared" ref="H27:R27" si="1">SUM(H10:H11)</f>
        <v>0</v>
      </c>
      <c r="I27" s="489">
        <f t="shared" si="1"/>
        <v>0</v>
      </c>
      <c r="J27" s="490">
        <f t="shared" si="1"/>
        <v>0</v>
      </c>
      <c r="K27" s="491">
        <f t="shared" si="1"/>
        <v>0</v>
      </c>
      <c r="L27" s="491">
        <f t="shared" si="1"/>
        <v>0</v>
      </c>
      <c r="M27" s="491">
        <f t="shared" si="1"/>
        <v>0</v>
      </c>
      <c r="N27" s="489">
        <f t="shared" si="1"/>
        <v>0</v>
      </c>
      <c r="O27" s="490">
        <f t="shared" si="1"/>
        <v>0</v>
      </c>
      <c r="P27" s="491">
        <f t="shared" si="1"/>
        <v>0</v>
      </c>
      <c r="Q27" s="491">
        <f t="shared" ref="Q27" si="2">SUM(Q10:Q11)</f>
        <v>0</v>
      </c>
      <c r="R27" s="491">
        <f t="shared" si="1"/>
        <v>0</v>
      </c>
      <c r="S27" s="492" t="str">
        <f t="shared" ref="S27:S32" si="3">IFERROR(ROUND(R27/L27,2),"NA")</f>
        <v>NA</v>
      </c>
      <c r="T27" s="492" t="str">
        <f t="shared" ref="T27:T32" si="4">IFERROR(ROUND(L27/N02S03F14/I27,2),"NA")</f>
        <v>NA</v>
      </c>
    </row>
    <row r="28" spans="1:20">
      <c r="A28" s="493" t="s">
        <v>1394</v>
      </c>
      <c r="B28" s="484" t="s">
        <v>1500</v>
      </c>
      <c r="G28" s="487" t="s">
        <v>1633</v>
      </c>
      <c r="H28" s="489">
        <f>SUM(H13:H15)</f>
        <v>0</v>
      </c>
      <c r="I28" s="489">
        <f>SUM(I13:I15)</f>
        <v>0</v>
      </c>
      <c r="J28" s="490">
        <f t="shared" ref="J28:K28" si="5">SUM(J13:J15)</f>
        <v>0</v>
      </c>
      <c r="K28" s="491">
        <f t="shared" si="5"/>
        <v>0</v>
      </c>
      <c r="L28" s="491">
        <f t="shared" ref="L28" si="6">SUM(L13:L15)</f>
        <v>0</v>
      </c>
      <c r="M28" s="491">
        <f t="shared" ref="M28:R28" si="7">SUM(M13:M15)</f>
        <v>0</v>
      </c>
      <c r="N28" s="489">
        <f t="shared" si="7"/>
        <v>0</v>
      </c>
      <c r="O28" s="490">
        <f t="shared" si="7"/>
        <v>0</v>
      </c>
      <c r="P28" s="491">
        <f t="shared" si="7"/>
        <v>0</v>
      </c>
      <c r="Q28" s="491">
        <f t="shared" si="7"/>
        <v>0</v>
      </c>
      <c r="R28" s="491">
        <f t="shared" si="7"/>
        <v>0</v>
      </c>
      <c r="S28" s="492" t="str">
        <f t="shared" si="3"/>
        <v>NA</v>
      </c>
      <c r="T28" s="492" t="str">
        <f t="shared" si="4"/>
        <v>NA</v>
      </c>
    </row>
    <row r="29" spans="1:20">
      <c r="A29" s="493" t="s">
        <v>1395</v>
      </c>
      <c r="B29" s="484" t="s">
        <v>741</v>
      </c>
      <c r="G29" s="487" t="s">
        <v>1370</v>
      </c>
      <c r="H29" s="489">
        <f t="shared" ref="H29:R29" si="8">SUM(H17:H22)</f>
        <v>0</v>
      </c>
      <c r="I29" s="489">
        <f t="shared" si="8"/>
        <v>0</v>
      </c>
      <c r="J29" s="490">
        <f t="shared" si="8"/>
        <v>0</v>
      </c>
      <c r="K29" s="491">
        <f t="shared" si="8"/>
        <v>0</v>
      </c>
      <c r="L29" s="491">
        <f t="shared" si="8"/>
        <v>0</v>
      </c>
      <c r="M29" s="491">
        <f t="shared" si="8"/>
        <v>0</v>
      </c>
      <c r="N29" s="489">
        <f t="shared" si="8"/>
        <v>0</v>
      </c>
      <c r="O29" s="490">
        <f t="shared" si="8"/>
        <v>0</v>
      </c>
      <c r="P29" s="491">
        <f t="shared" si="8"/>
        <v>0</v>
      </c>
      <c r="Q29" s="491">
        <f t="shared" ref="Q29" si="9">SUM(Q17:Q22)</f>
        <v>0</v>
      </c>
      <c r="R29" s="491">
        <f t="shared" si="8"/>
        <v>0</v>
      </c>
      <c r="S29" s="492" t="str">
        <f t="shared" si="3"/>
        <v>NA</v>
      </c>
      <c r="T29" s="492" t="str">
        <f t="shared" si="4"/>
        <v>NA</v>
      </c>
    </row>
    <row r="30" spans="1:20">
      <c r="A30" s="493" t="s">
        <v>1396</v>
      </c>
      <c r="B30" s="484" t="s">
        <v>741</v>
      </c>
      <c r="G30" s="487" t="s">
        <v>1634</v>
      </c>
      <c r="H30" s="489">
        <f>H24</f>
        <v>0</v>
      </c>
      <c r="I30" s="489">
        <f>I24</f>
        <v>0</v>
      </c>
      <c r="J30" s="490">
        <f t="shared" ref="J30:K30" si="10">J24</f>
        <v>0</v>
      </c>
      <c r="K30" s="491">
        <f t="shared" si="10"/>
        <v>0</v>
      </c>
      <c r="L30" s="491">
        <f t="shared" ref="L30" si="11">L24</f>
        <v>0</v>
      </c>
      <c r="M30" s="491">
        <f t="shared" ref="M30:R30" si="12">M24</f>
        <v>0</v>
      </c>
      <c r="N30" s="489">
        <f t="shared" si="12"/>
        <v>0</v>
      </c>
      <c r="O30" s="490">
        <f t="shared" si="12"/>
        <v>0</v>
      </c>
      <c r="P30" s="491">
        <f t="shared" si="12"/>
        <v>0</v>
      </c>
      <c r="Q30" s="491">
        <f t="shared" si="12"/>
        <v>0</v>
      </c>
      <c r="R30" s="491">
        <f t="shared" si="12"/>
        <v>0</v>
      </c>
      <c r="S30" s="492" t="str">
        <f t="shared" si="3"/>
        <v>NA</v>
      </c>
      <c r="T30" s="492" t="str">
        <f t="shared" si="4"/>
        <v>NA</v>
      </c>
    </row>
    <row r="31" spans="1:20">
      <c r="A31" s="493" t="s">
        <v>1397</v>
      </c>
      <c r="B31" s="485" t="s">
        <v>27</v>
      </c>
      <c r="G31" s="487" t="s">
        <v>1670</v>
      </c>
      <c r="H31" s="489">
        <f t="shared" ref="H31:R31" si="13">H29</f>
        <v>0</v>
      </c>
      <c r="I31" s="489">
        <f t="shared" si="13"/>
        <v>0</v>
      </c>
      <c r="J31" s="490">
        <f t="shared" si="13"/>
        <v>0</v>
      </c>
      <c r="K31" s="491">
        <f t="shared" si="13"/>
        <v>0</v>
      </c>
      <c r="L31" s="491">
        <f t="shared" si="13"/>
        <v>0</v>
      </c>
      <c r="M31" s="491">
        <f t="shared" si="13"/>
        <v>0</v>
      </c>
      <c r="N31" s="489">
        <f t="shared" si="13"/>
        <v>0</v>
      </c>
      <c r="O31" s="490">
        <f t="shared" si="13"/>
        <v>0</v>
      </c>
      <c r="P31" s="491">
        <f t="shared" si="13"/>
        <v>0</v>
      </c>
      <c r="Q31" s="491"/>
      <c r="R31" s="491">
        <f t="shared" si="13"/>
        <v>0</v>
      </c>
      <c r="S31" s="492" t="str">
        <f t="shared" si="3"/>
        <v>NA</v>
      </c>
      <c r="T31" s="492" t="str">
        <f t="shared" si="4"/>
        <v>NA</v>
      </c>
    </row>
    <row r="32" spans="1:20">
      <c r="A32" s="493" t="s">
        <v>1398</v>
      </c>
      <c r="B32" s="484" t="s">
        <v>29</v>
      </c>
      <c r="G32" s="487" t="s">
        <v>54</v>
      </c>
      <c r="H32" s="489">
        <f t="shared" ref="H32:R32" si="14">SUM(H10:H24)</f>
        <v>0</v>
      </c>
      <c r="I32" s="489">
        <f t="shared" si="14"/>
        <v>0</v>
      </c>
      <c r="J32" s="490">
        <f t="shared" si="14"/>
        <v>0</v>
      </c>
      <c r="K32" s="491">
        <f t="shared" si="14"/>
        <v>0</v>
      </c>
      <c r="L32" s="491">
        <f t="shared" si="14"/>
        <v>0</v>
      </c>
      <c r="M32" s="491">
        <f>SUM(M10:M24)</f>
        <v>0</v>
      </c>
      <c r="N32" s="489">
        <f t="shared" si="14"/>
        <v>0</v>
      </c>
      <c r="O32" s="490">
        <f t="shared" si="14"/>
        <v>0</v>
      </c>
      <c r="P32" s="491">
        <f t="shared" si="14"/>
        <v>0</v>
      </c>
      <c r="Q32" s="491">
        <f t="shared" ref="Q32" si="15">SUM(Q10:Q24)</f>
        <v>0</v>
      </c>
      <c r="R32" s="491">
        <f t="shared" si="14"/>
        <v>0</v>
      </c>
      <c r="S32" s="492" t="str">
        <f t="shared" si="3"/>
        <v>NA</v>
      </c>
      <c r="T32" s="492" t="str">
        <f t="shared" si="4"/>
        <v>NA</v>
      </c>
    </row>
    <row r="33" spans="1:2">
      <c r="A33" s="493" t="s">
        <v>1399</v>
      </c>
      <c r="B33" s="484" t="s">
        <v>1304</v>
      </c>
    </row>
    <row r="34" spans="1:2">
      <c r="A34" s="493" t="s">
        <v>1400</v>
      </c>
      <c r="B34" s="484"/>
    </row>
    <row r="35" spans="1:2">
      <c r="A35" s="493" t="s">
        <v>1401</v>
      </c>
      <c r="B35" s="485"/>
    </row>
    <row r="36" spans="1:2">
      <c r="A36" s="493" t="s">
        <v>1524</v>
      </c>
      <c r="B36" s="484"/>
    </row>
    <row r="37" spans="1:2">
      <c r="A37" s="488" t="s">
        <v>1382</v>
      </c>
      <c r="B37" s="494"/>
    </row>
    <row r="38" spans="1:2">
      <c r="A38" s="483" t="s">
        <v>1402</v>
      </c>
      <c r="B38" s="485" t="s">
        <v>27</v>
      </c>
    </row>
    <row r="39" spans="1:2">
      <c r="A39" s="483" t="s">
        <v>1403</v>
      </c>
      <c r="B39" s="485" t="s">
        <v>761</v>
      </c>
    </row>
    <row r="40" spans="1:2">
      <c r="A40" s="483" t="s">
        <v>1404</v>
      </c>
      <c r="B40" s="484" t="s">
        <v>219</v>
      </c>
    </row>
    <row r="41" spans="1:2">
      <c r="A41" s="483" t="s">
        <v>1405</v>
      </c>
      <c r="B41" s="485" t="s">
        <v>29</v>
      </c>
    </row>
    <row r="42" spans="1:2">
      <c r="A42" s="483" t="s">
        <v>1406</v>
      </c>
      <c r="B42" s="484" t="s">
        <v>1304</v>
      </c>
    </row>
    <row r="43" spans="1:2">
      <c r="A43" s="483" t="s">
        <v>1407</v>
      </c>
      <c r="B43" s="484" t="s">
        <v>195</v>
      </c>
    </row>
    <row r="44" spans="1:2">
      <c r="A44" s="483" t="s">
        <v>1408</v>
      </c>
      <c r="B44" s="484"/>
    </row>
    <row r="45" spans="1:2">
      <c r="A45" s="483" t="s">
        <v>1409</v>
      </c>
      <c r="B45" s="485"/>
    </row>
    <row r="46" spans="1:2">
      <c r="A46" s="483" t="s">
        <v>1410</v>
      </c>
      <c r="B46" s="484" t="s">
        <v>1478</v>
      </c>
    </row>
    <row r="47" spans="1:2">
      <c r="A47" s="488" t="s">
        <v>1383</v>
      </c>
      <c r="B47" s="494" t="s">
        <v>781</v>
      </c>
    </row>
    <row r="48" spans="1:2">
      <c r="A48" s="483" t="s">
        <v>1411</v>
      </c>
      <c r="B48" s="484" t="s">
        <v>767</v>
      </c>
    </row>
    <row r="49" spans="1:2">
      <c r="A49" s="483" t="s">
        <v>1412</v>
      </c>
      <c r="B49" s="484" t="s">
        <v>796</v>
      </c>
    </row>
    <row r="50" spans="1:2">
      <c r="A50" s="483" t="s">
        <v>1413</v>
      </c>
      <c r="B50" s="484" t="s">
        <v>6</v>
      </c>
    </row>
    <row r="51" spans="1:2">
      <c r="A51" s="483" t="s">
        <v>1414</v>
      </c>
      <c r="B51" s="484" t="s">
        <v>14</v>
      </c>
    </row>
    <row r="52" spans="1:2">
      <c r="A52" s="483" t="s">
        <v>1415</v>
      </c>
      <c r="B52" s="484" t="s">
        <v>15</v>
      </c>
    </row>
    <row r="53" spans="1:2">
      <c r="A53" s="483" t="s">
        <v>1416</v>
      </c>
      <c r="B53" s="484" t="s">
        <v>52</v>
      </c>
    </row>
    <row r="54" spans="1:2">
      <c r="A54" s="483" t="s">
        <v>1417</v>
      </c>
      <c r="B54" s="484" t="s">
        <v>268</v>
      </c>
    </row>
    <row r="55" spans="1:2">
      <c r="A55" s="483" t="s">
        <v>1418</v>
      </c>
      <c r="B55" s="486"/>
    </row>
    <row r="56" spans="1:2">
      <c r="A56" s="488" t="s">
        <v>1384</v>
      </c>
      <c r="B56" s="494"/>
    </row>
    <row r="57" spans="1:2">
      <c r="A57" s="483" t="s">
        <v>1419</v>
      </c>
      <c r="B57" s="484"/>
    </row>
    <row r="58" spans="1:2">
      <c r="A58" s="483" t="s">
        <v>1420</v>
      </c>
      <c r="B58" s="484"/>
    </row>
    <row r="59" spans="1:2">
      <c r="A59" s="483" t="s">
        <v>1421</v>
      </c>
      <c r="B59" s="484"/>
    </row>
    <row r="60" spans="1:2">
      <c r="A60" s="483" t="s">
        <v>1422</v>
      </c>
      <c r="B60" s="484"/>
    </row>
    <row r="61" spans="1:2">
      <c r="A61" s="483" t="s">
        <v>1423</v>
      </c>
      <c r="B61" s="484"/>
    </row>
    <row r="62" spans="1:2">
      <c r="A62" s="483" t="s">
        <v>1424</v>
      </c>
      <c r="B62" s="484"/>
    </row>
    <row r="63" spans="1:2">
      <c r="A63" s="483" t="s">
        <v>1425</v>
      </c>
      <c r="B63" s="484"/>
    </row>
    <row r="64" spans="1:2">
      <c r="A64" s="483" t="s">
        <v>1426</v>
      </c>
      <c r="B64" s="486"/>
    </row>
    <row r="65" spans="1:6">
      <c r="A65" s="488" t="s">
        <v>1385</v>
      </c>
      <c r="B65" s="494"/>
    </row>
    <row r="66" spans="1:6">
      <c r="A66" s="483" t="s">
        <v>1427</v>
      </c>
      <c r="B66" s="484"/>
    </row>
    <row r="67" spans="1:6">
      <c r="A67" s="483" t="s">
        <v>1428</v>
      </c>
      <c r="B67" s="484"/>
    </row>
    <row r="68" spans="1:6">
      <c r="A68" s="483" t="s">
        <v>1429</v>
      </c>
      <c r="B68" s="484"/>
    </row>
    <row r="69" spans="1:6">
      <c r="A69" s="483" t="s">
        <v>1430</v>
      </c>
      <c r="B69" s="484"/>
    </row>
    <row r="70" spans="1:6">
      <c r="A70" s="483" t="s">
        <v>1431</v>
      </c>
      <c r="B70" s="484"/>
    </row>
    <row r="71" spans="1:6">
      <c r="A71" s="483" t="s">
        <v>1432</v>
      </c>
      <c r="B71" s="484"/>
    </row>
    <row r="72" spans="1:6">
      <c r="A72" s="483" t="s">
        <v>1433</v>
      </c>
      <c r="B72" s="484"/>
    </row>
    <row r="73" spans="1:6">
      <c r="A73" s="483" t="s">
        <v>1434</v>
      </c>
      <c r="B73" s="486"/>
    </row>
    <row r="75" spans="1:6">
      <c r="A75" s="495"/>
      <c r="C75" t="s">
        <v>21</v>
      </c>
      <c r="D75" t="s">
        <v>180</v>
      </c>
      <c r="E75" t="s">
        <v>780</v>
      </c>
    </row>
    <row r="76" spans="1:6">
      <c r="A76" s="496" t="s">
        <v>2045</v>
      </c>
      <c r="B76" s="496" t="str">
        <f>N2S1</f>
        <v>Terms &amp; Conditions</v>
      </c>
      <c r="C76" s="496">
        <f ca="1">SUMIF(D77:D79, 1, C77:C79)</f>
        <v>0</v>
      </c>
      <c r="D76" s="496">
        <f ca="1">SUM(D77:D79)</f>
        <v>3</v>
      </c>
      <c r="E76" s="497">
        <f ca="1">IFERROR(C76/D76, 1)</f>
        <v>0</v>
      </c>
      <c r="F76" s="59" t="s">
        <v>1650</v>
      </c>
    </row>
    <row r="77" spans="1:6">
      <c r="A77" s="498" t="s">
        <v>1494</v>
      </c>
      <c r="B77" s="498" t="str">
        <f ca="1">OFFSET(INDIRECT(A77),-1,0)</f>
        <v>Electronic Signature (Account Owner or Authorized Representative)*</v>
      </c>
      <c r="C77" s="505">
        <f t="shared" ref="C77:C79" ca="1" si="16">IF(INDIRECT($A77)="",0,1)</f>
        <v>0</v>
      </c>
      <c r="D77" s="498">
        <f ca="1">IFERROR(IF(SEARCH("~*", B77), 1), 0)</f>
        <v>1</v>
      </c>
    </row>
    <row r="78" spans="1:6">
      <c r="A78" s="498" t="s">
        <v>1492</v>
      </c>
      <c r="B78" s="498" t="str">
        <f ca="1">OFFSET(INDIRECT(A78),-1,0)</f>
        <v>Signatory Title*</v>
      </c>
      <c r="C78" s="505">
        <f t="shared" ca="1" si="16"/>
        <v>0</v>
      </c>
      <c r="D78" s="498">
        <f t="shared" ref="D78:D79" ca="1" si="17">IFERROR(IF(SEARCH("~*", B78), 1), 0)</f>
        <v>1</v>
      </c>
    </row>
    <row r="79" spans="1:6">
      <c r="A79" s="498" t="s">
        <v>1493</v>
      </c>
      <c r="B79" s="498" t="str">
        <f ca="1">OFFSET(INDIRECT(A79),-1,0)</f>
        <v>Date Signed*</v>
      </c>
      <c r="C79" s="505">
        <f t="shared" ca="1" si="16"/>
        <v>0</v>
      </c>
      <c r="D79" s="498">
        <f t="shared" ca="1" si="17"/>
        <v>1</v>
      </c>
    </row>
    <row r="81" spans="1:6">
      <c r="C81" t="s">
        <v>21</v>
      </c>
      <c r="D81" t="s">
        <v>180</v>
      </c>
      <c r="E81" t="s">
        <v>780</v>
      </c>
    </row>
    <row r="82" spans="1:6">
      <c r="A82" s="496" t="s">
        <v>2045</v>
      </c>
      <c r="B82" s="496" t="str">
        <f>N2S2</f>
        <v>Design Team Information</v>
      </c>
      <c r="C82" s="496">
        <f ca="1">SUMIF(D83:D142, 1, C83:C142)</f>
        <v>0</v>
      </c>
      <c r="D82" s="496">
        <f ca="1">SUM(D83:D142)</f>
        <v>10</v>
      </c>
      <c r="E82" s="497">
        <f ca="1">IFERROR(C82/D82, 1)</f>
        <v>0</v>
      </c>
      <c r="F82" s="59" t="s">
        <v>1651</v>
      </c>
    </row>
    <row r="83" spans="1:6">
      <c r="A83" s="498" t="s">
        <v>1495</v>
      </c>
      <c r="B83" s="498" t="str">
        <f t="shared" ref="B83:B142" ca="1" si="18">OFFSET(INDIRECT(A83),-1,0)</f>
        <v>Company*</v>
      </c>
      <c r="C83" s="505">
        <f ca="1">IF(INDIRECT($A83)="",0,1)</f>
        <v>0</v>
      </c>
      <c r="D83" s="498">
        <f t="shared" ref="D83:D142" ca="1" si="19">IFERROR(IF(SEARCH("~*", B83), 1), 0)</f>
        <v>1</v>
      </c>
    </row>
    <row r="84" spans="1:6">
      <c r="A84" s="498" t="s">
        <v>1496</v>
      </c>
      <c r="B84" s="498" t="str">
        <f t="shared" ca="1" si="18"/>
        <v>Mailing Address*</v>
      </c>
      <c r="C84" s="505">
        <f t="shared" ref="C84:C142" ca="1" si="20">IF(INDIRECT($A84)="",0,1)</f>
        <v>0</v>
      </c>
      <c r="D84" s="498">
        <f t="shared" ca="1" si="19"/>
        <v>1</v>
      </c>
    </row>
    <row r="85" spans="1:6">
      <c r="A85" s="498" t="s">
        <v>1531</v>
      </c>
      <c r="B85" s="498" t="str">
        <f t="shared" ca="1" si="18"/>
        <v>City*</v>
      </c>
      <c r="C85" s="505">
        <f t="shared" ca="1" si="20"/>
        <v>0</v>
      </c>
      <c r="D85" s="498">
        <f t="shared" ca="1" si="19"/>
        <v>1</v>
      </c>
    </row>
    <row r="86" spans="1:6">
      <c r="A86" s="498" t="s">
        <v>1532</v>
      </c>
      <c r="B86" s="498" t="str">
        <f t="shared" ca="1" si="18"/>
        <v>State/ Province*</v>
      </c>
      <c r="C86" s="505">
        <f t="shared" ca="1" si="20"/>
        <v>0</v>
      </c>
      <c r="D86" s="498">
        <f t="shared" ca="1" si="19"/>
        <v>1</v>
      </c>
    </row>
    <row r="87" spans="1:6">
      <c r="A87" s="498" t="s">
        <v>1533</v>
      </c>
      <c r="B87" s="498" t="str">
        <f t="shared" ca="1" si="18"/>
        <v>Zip/ Postal Code*</v>
      </c>
      <c r="C87" s="505">
        <f t="shared" ca="1" si="20"/>
        <v>0</v>
      </c>
      <c r="D87" s="498">
        <f t="shared" ca="1" si="19"/>
        <v>1</v>
      </c>
    </row>
    <row r="88" spans="1:6">
      <c r="A88" s="498" t="s">
        <v>1534</v>
      </c>
      <c r="B88" s="498" t="str">
        <f t="shared" ca="1" si="18"/>
        <v>Contact First Name*</v>
      </c>
      <c r="C88" s="505">
        <f t="shared" ca="1" si="20"/>
        <v>0</v>
      </c>
      <c r="D88" s="498">
        <f t="shared" ca="1" si="19"/>
        <v>1</v>
      </c>
    </row>
    <row r="89" spans="1:6">
      <c r="A89" s="498" t="s">
        <v>1535</v>
      </c>
      <c r="B89" s="498" t="str">
        <f t="shared" ca="1" si="18"/>
        <v>Last Name*</v>
      </c>
      <c r="C89" s="505">
        <f t="shared" ca="1" si="20"/>
        <v>0</v>
      </c>
      <c r="D89" s="498">
        <f t="shared" ca="1" si="19"/>
        <v>1</v>
      </c>
    </row>
    <row r="90" spans="1:6">
      <c r="A90" s="498" t="s">
        <v>1536</v>
      </c>
      <c r="B90" s="498" t="str">
        <f t="shared" ca="1" si="18"/>
        <v>Title*</v>
      </c>
      <c r="C90" s="505">
        <f t="shared" ca="1" si="20"/>
        <v>0</v>
      </c>
      <c r="D90" s="498">
        <f t="shared" ca="1" si="19"/>
        <v>1</v>
      </c>
    </row>
    <row r="91" spans="1:6">
      <c r="A91" s="498" t="s">
        <v>1537</v>
      </c>
      <c r="B91" s="498" t="str">
        <f t="shared" ca="1" si="18"/>
        <v>Primary Phone*</v>
      </c>
      <c r="C91" s="505">
        <f t="shared" ca="1" si="20"/>
        <v>0</v>
      </c>
      <c r="D91" s="498">
        <f t="shared" ca="1" si="19"/>
        <v>1</v>
      </c>
    </row>
    <row r="92" spans="1:6">
      <c r="A92" s="498" t="s">
        <v>1538</v>
      </c>
      <c r="B92" s="498" t="str">
        <f t="shared" ca="1" si="18"/>
        <v>Email*</v>
      </c>
      <c r="C92" s="505">
        <f t="shared" ca="1" si="20"/>
        <v>0</v>
      </c>
      <c r="D92" s="498">
        <f t="shared" ca="1" si="19"/>
        <v>1</v>
      </c>
    </row>
    <row r="93" spans="1:6">
      <c r="A93" s="498" t="s">
        <v>1539</v>
      </c>
      <c r="B93" s="498" t="str">
        <f t="shared" ca="1" si="18"/>
        <v>Company</v>
      </c>
      <c r="C93" s="505">
        <f t="shared" ca="1" si="20"/>
        <v>0</v>
      </c>
      <c r="D93" s="498">
        <f t="shared" ca="1" si="19"/>
        <v>0</v>
      </c>
    </row>
    <row r="94" spans="1:6">
      <c r="A94" s="498" t="s">
        <v>1540</v>
      </c>
      <c r="B94" s="498" t="str">
        <f t="shared" ca="1" si="18"/>
        <v>Mailing Address</v>
      </c>
      <c r="C94" s="505">
        <f t="shared" ca="1" si="20"/>
        <v>0</v>
      </c>
      <c r="D94" s="498">
        <f t="shared" ca="1" si="19"/>
        <v>0</v>
      </c>
    </row>
    <row r="95" spans="1:6">
      <c r="A95" s="498" t="s">
        <v>1541</v>
      </c>
      <c r="B95" s="498" t="str">
        <f t="shared" ca="1" si="18"/>
        <v>City</v>
      </c>
      <c r="C95" s="505">
        <f t="shared" ca="1" si="20"/>
        <v>0</v>
      </c>
      <c r="D95" s="498">
        <f t="shared" ca="1" si="19"/>
        <v>0</v>
      </c>
    </row>
    <row r="96" spans="1:6">
      <c r="A96" s="498" t="s">
        <v>1542</v>
      </c>
      <c r="B96" s="498" t="str">
        <f t="shared" ca="1" si="18"/>
        <v>State</v>
      </c>
      <c r="C96" s="505">
        <f t="shared" ca="1" si="20"/>
        <v>0</v>
      </c>
      <c r="D96" s="498">
        <f t="shared" ca="1" si="19"/>
        <v>0</v>
      </c>
    </row>
    <row r="97" spans="1:4">
      <c r="A97" s="498" t="s">
        <v>1543</v>
      </c>
      <c r="B97" s="498" t="str">
        <f t="shared" ca="1" si="18"/>
        <v>Zip Code</v>
      </c>
      <c r="C97" s="505">
        <f t="shared" ca="1" si="20"/>
        <v>0</v>
      </c>
      <c r="D97" s="498">
        <f t="shared" ca="1" si="19"/>
        <v>0</v>
      </c>
    </row>
    <row r="98" spans="1:4">
      <c r="A98" s="498" t="s">
        <v>1544</v>
      </c>
      <c r="B98" s="498" t="str">
        <f t="shared" ca="1" si="18"/>
        <v>Contact First Name</v>
      </c>
      <c r="C98" s="505">
        <f t="shared" ca="1" si="20"/>
        <v>0</v>
      </c>
      <c r="D98" s="498">
        <f t="shared" ca="1" si="19"/>
        <v>0</v>
      </c>
    </row>
    <row r="99" spans="1:4">
      <c r="A99" s="498" t="s">
        <v>1545</v>
      </c>
      <c r="B99" s="498" t="str">
        <f t="shared" ca="1" si="18"/>
        <v>Last Name</v>
      </c>
      <c r="C99" s="505">
        <f t="shared" ca="1" si="20"/>
        <v>0</v>
      </c>
      <c r="D99" s="498">
        <f t="shared" ca="1" si="19"/>
        <v>0</v>
      </c>
    </row>
    <row r="100" spans="1:4">
      <c r="A100" s="498" t="s">
        <v>1546</v>
      </c>
      <c r="B100" s="498" t="str">
        <f t="shared" ca="1" si="18"/>
        <v>Title</v>
      </c>
      <c r="C100" s="505">
        <f t="shared" ca="1" si="20"/>
        <v>0</v>
      </c>
      <c r="D100" s="498">
        <f t="shared" ca="1" si="19"/>
        <v>0</v>
      </c>
    </row>
    <row r="101" spans="1:4">
      <c r="A101" s="498" t="s">
        <v>1547</v>
      </c>
      <c r="B101" s="498" t="str">
        <f t="shared" ca="1" si="18"/>
        <v>Primary Phone</v>
      </c>
      <c r="C101" s="505">
        <f t="shared" ca="1" si="20"/>
        <v>0</v>
      </c>
      <c r="D101" s="498">
        <f t="shared" ca="1" si="19"/>
        <v>0</v>
      </c>
    </row>
    <row r="102" spans="1:4">
      <c r="A102" s="498" t="s">
        <v>1548</v>
      </c>
      <c r="B102" s="498" t="str">
        <f t="shared" ca="1" si="18"/>
        <v>Email</v>
      </c>
      <c r="C102" s="505">
        <f t="shared" ca="1" si="20"/>
        <v>0</v>
      </c>
      <c r="D102" s="498">
        <f t="shared" ca="1" si="19"/>
        <v>0</v>
      </c>
    </row>
    <row r="103" spans="1:4">
      <c r="A103" s="498" t="s">
        <v>1549</v>
      </c>
      <c r="B103" s="498" t="str">
        <f t="shared" ca="1" si="18"/>
        <v>Company</v>
      </c>
      <c r="C103" s="505">
        <f t="shared" ca="1" si="20"/>
        <v>0</v>
      </c>
      <c r="D103" s="498">
        <f t="shared" ca="1" si="19"/>
        <v>0</v>
      </c>
    </row>
    <row r="104" spans="1:4">
      <c r="A104" s="498" t="s">
        <v>1550</v>
      </c>
      <c r="B104" s="498" t="str">
        <f t="shared" ca="1" si="18"/>
        <v>Mailing Address</v>
      </c>
      <c r="C104" s="505">
        <f t="shared" ca="1" si="20"/>
        <v>0</v>
      </c>
      <c r="D104" s="498">
        <f t="shared" ca="1" si="19"/>
        <v>0</v>
      </c>
    </row>
    <row r="105" spans="1:4">
      <c r="A105" s="498" t="s">
        <v>1551</v>
      </c>
      <c r="B105" s="498" t="str">
        <f t="shared" ca="1" si="18"/>
        <v>City</v>
      </c>
      <c r="C105" s="505">
        <f t="shared" ca="1" si="20"/>
        <v>0</v>
      </c>
      <c r="D105" s="498">
        <f t="shared" ca="1" si="19"/>
        <v>0</v>
      </c>
    </row>
    <row r="106" spans="1:4">
      <c r="A106" s="498" t="s">
        <v>1552</v>
      </c>
      <c r="B106" s="498" t="str">
        <f t="shared" ca="1" si="18"/>
        <v>State</v>
      </c>
      <c r="C106" s="505">
        <f t="shared" ca="1" si="20"/>
        <v>0</v>
      </c>
      <c r="D106" s="498">
        <f t="shared" ca="1" si="19"/>
        <v>0</v>
      </c>
    </row>
    <row r="107" spans="1:4">
      <c r="A107" s="498" t="s">
        <v>1553</v>
      </c>
      <c r="B107" s="498" t="str">
        <f t="shared" ca="1" si="18"/>
        <v>Zip Code</v>
      </c>
      <c r="C107" s="505">
        <f t="shared" ca="1" si="20"/>
        <v>0</v>
      </c>
      <c r="D107" s="498">
        <f t="shared" ca="1" si="19"/>
        <v>0</v>
      </c>
    </row>
    <row r="108" spans="1:4">
      <c r="A108" s="498" t="s">
        <v>1554</v>
      </c>
      <c r="B108" s="498" t="str">
        <f t="shared" ca="1" si="18"/>
        <v>Contact First Name</v>
      </c>
      <c r="C108" s="505">
        <f t="shared" ca="1" si="20"/>
        <v>0</v>
      </c>
      <c r="D108" s="498">
        <f t="shared" ca="1" si="19"/>
        <v>0</v>
      </c>
    </row>
    <row r="109" spans="1:4">
      <c r="A109" s="498" t="s">
        <v>1555</v>
      </c>
      <c r="B109" s="498" t="str">
        <f t="shared" ca="1" si="18"/>
        <v>Last Name</v>
      </c>
      <c r="C109" s="505">
        <f t="shared" ca="1" si="20"/>
        <v>0</v>
      </c>
      <c r="D109" s="498">
        <f t="shared" ca="1" si="19"/>
        <v>0</v>
      </c>
    </row>
    <row r="110" spans="1:4">
      <c r="A110" s="498" t="s">
        <v>1556</v>
      </c>
      <c r="B110" s="498" t="str">
        <f t="shared" ca="1" si="18"/>
        <v>Title</v>
      </c>
      <c r="C110" s="505">
        <f t="shared" ca="1" si="20"/>
        <v>0</v>
      </c>
      <c r="D110" s="498">
        <f t="shared" ca="1" si="19"/>
        <v>0</v>
      </c>
    </row>
    <row r="111" spans="1:4">
      <c r="A111" s="498" t="s">
        <v>1557</v>
      </c>
      <c r="B111" s="498" t="str">
        <f t="shared" ca="1" si="18"/>
        <v>Primary Phone</v>
      </c>
      <c r="C111" s="505">
        <f t="shared" ca="1" si="20"/>
        <v>0</v>
      </c>
      <c r="D111" s="498">
        <f t="shared" ca="1" si="19"/>
        <v>0</v>
      </c>
    </row>
    <row r="112" spans="1:4">
      <c r="A112" s="498" t="s">
        <v>1558</v>
      </c>
      <c r="B112" s="498" t="str">
        <f t="shared" ca="1" si="18"/>
        <v>Email</v>
      </c>
      <c r="C112" s="505">
        <f t="shared" ca="1" si="20"/>
        <v>0</v>
      </c>
      <c r="D112" s="498">
        <f t="shared" ca="1" si="19"/>
        <v>0</v>
      </c>
    </row>
    <row r="113" spans="1:4">
      <c r="A113" s="498" t="s">
        <v>1559</v>
      </c>
      <c r="B113" s="498" t="str">
        <f t="shared" ca="1" si="18"/>
        <v>Company</v>
      </c>
      <c r="C113" s="505">
        <f t="shared" ca="1" si="20"/>
        <v>0</v>
      </c>
      <c r="D113" s="498">
        <f t="shared" ca="1" si="19"/>
        <v>0</v>
      </c>
    </row>
    <row r="114" spans="1:4">
      <c r="A114" s="498" t="s">
        <v>1560</v>
      </c>
      <c r="B114" s="498" t="str">
        <f t="shared" ca="1" si="18"/>
        <v>Mailing Address</v>
      </c>
      <c r="C114" s="505">
        <f t="shared" ca="1" si="20"/>
        <v>0</v>
      </c>
      <c r="D114" s="498">
        <f t="shared" ca="1" si="19"/>
        <v>0</v>
      </c>
    </row>
    <row r="115" spans="1:4">
      <c r="A115" s="498" t="s">
        <v>1561</v>
      </c>
      <c r="B115" s="498" t="str">
        <f t="shared" ca="1" si="18"/>
        <v>City</v>
      </c>
      <c r="C115" s="505">
        <f t="shared" ca="1" si="20"/>
        <v>0</v>
      </c>
      <c r="D115" s="498">
        <f t="shared" ca="1" si="19"/>
        <v>0</v>
      </c>
    </row>
    <row r="116" spans="1:4">
      <c r="A116" s="498" t="s">
        <v>1562</v>
      </c>
      <c r="B116" s="498" t="str">
        <f t="shared" ca="1" si="18"/>
        <v>State</v>
      </c>
      <c r="C116" s="505">
        <f t="shared" ca="1" si="20"/>
        <v>0</v>
      </c>
      <c r="D116" s="498">
        <f t="shared" ca="1" si="19"/>
        <v>0</v>
      </c>
    </row>
    <row r="117" spans="1:4">
      <c r="A117" s="498" t="s">
        <v>1563</v>
      </c>
      <c r="B117" s="498" t="str">
        <f t="shared" ca="1" si="18"/>
        <v>Zip Code</v>
      </c>
      <c r="C117" s="505">
        <f t="shared" ca="1" si="20"/>
        <v>0</v>
      </c>
      <c r="D117" s="498">
        <f t="shared" ca="1" si="19"/>
        <v>0</v>
      </c>
    </row>
    <row r="118" spans="1:4">
      <c r="A118" s="498" t="s">
        <v>1564</v>
      </c>
      <c r="B118" s="498" t="str">
        <f t="shared" ca="1" si="18"/>
        <v>Contact First Name</v>
      </c>
      <c r="C118" s="505">
        <f t="shared" ca="1" si="20"/>
        <v>0</v>
      </c>
      <c r="D118" s="498">
        <f t="shared" ca="1" si="19"/>
        <v>0</v>
      </c>
    </row>
    <row r="119" spans="1:4">
      <c r="A119" s="498" t="s">
        <v>1565</v>
      </c>
      <c r="B119" s="498" t="str">
        <f t="shared" ca="1" si="18"/>
        <v>Last Name</v>
      </c>
      <c r="C119" s="505">
        <f t="shared" ca="1" si="20"/>
        <v>0</v>
      </c>
      <c r="D119" s="498">
        <f t="shared" ca="1" si="19"/>
        <v>0</v>
      </c>
    </row>
    <row r="120" spans="1:4">
      <c r="A120" s="498" t="s">
        <v>1566</v>
      </c>
      <c r="B120" s="498" t="str">
        <f t="shared" ca="1" si="18"/>
        <v>Title</v>
      </c>
      <c r="C120" s="505">
        <f t="shared" ca="1" si="20"/>
        <v>0</v>
      </c>
      <c r="D120" s="498">
        <f t="shared" ca="1" si="19"/>
        <v>0</v>
      </c>
    </row>
    <row r="121" spans="1:4">
      <c r="A121" s="498" t="s">
        <v>1567</v>
      </c>
      <c r="B121" s="498" t="str">
        <f t="shared" ca="1" si="18"/>
        <v>Primary Phone</v>
      </c>
      <c r="C121" s="505">
        <f t="shared" ca="1" si="20"/>
        <v>0</v>
      </c>
      <c r="D121" s="498">
        <f t="shared" ca="1" si="19"/>
        <v>0</v>
      </c>
    </row>
    <row r="122" spans="1:4">
      <c r="A122" s="498" t="s">
        <v>1568</v>
      </c>
      <c r="B122" s="498" t="str">
        <f t="shared" ca="1" si="18"/>
        <v>Email</v>
      </c>
      <c r="C122" s="505">
        <f t="shared" ca="1" si="20"/>
        <v>0</v>
      </c>
      <c r="D122" s="498">
        <f t="shared" ca="1" si="19"/>
        <v>0</v>
      </c>
    </row>
    <row r="123" spans="1:4">
      <c r="A123" s="498" t="s">
        <v>1569</v>
      </c>
      <c r="B123" s="498" t="str">
        <f t="shared" ca="1" si="18"/>
        <v>Company</v>
      </c>
      <c r="C123" s="505">
        <f t="shared" ca="1" si="20"/>
        <v>0</v>
      </c>
      <c r="D123" s="498">
        <f t="shared" ca="1" si="19"/>
        <v>0</v>
      </c>
    </row>
    <row r="124" spans="1:4">
      <c r="A124" s="498" t="s">
        <v>1570</v>
      </c>
      <c r="B124" s="498" t="str">
        <f t="shared" ca="1" si="18"/>
        <v>Mailing Address</v>
      </c>
      <c r="C124" s="505">
        <f t="shared" ca="1" si="20"/>
        <v>0</v>
      </c>
      <c r="D124" s="498">
        <f t="shared" ca="1" si="19"/>
        <v>0</v>
      </c>
    </row>
    <row r="125" spans="1:4">
      <c r="A125" s="498" t="s">
        <v>1571</v>
      </c>
      <c r="B125" s="498" t="str">
        <f t="shared" ca="1" si="18"/>
        <v>City</v>
      </c>
      <c r="C125" s="505">
        <f t="shared" ca="1" si="20"/>
        <v>0</v>
      </c>
      <c r="D125" s="498">
        <f t="shared" ca="1" si="19"/>
        <v>0</v>
      </c>
    </row>
    <row r="126" spans="1:4">
      <c r="A126" s="498" t="s">
        <v>1572</v>
      </c>
      <c r="B126" s="498" t="str">
        <f t="shared" ca="1" si="18"/>
        <v>State</v>
      </c>
      <c r="C126" s="505">
        <f t="shared" ca="1" si="20"/>
        <v>0</v>
      </c>
      <c r="D126" s="498">
        <f t="shared" ca="1" si="19"/>
        <v>0</v>
      </c>
    </row>
    <row r="127" spans="1:4">
      <c r="A127" s="498" t="s">
        <v>1573</v>
      </c>
      <c r="B127" s="498" t="str">
        <f t="shared" ca="1" si="18"/>
        <v>Zip Code</v>
      </c>
      <c r="C127" s="505">
        <f t="shared" ca="1" si="20"/>
        <v>0</v>
      </c>
      <c r="D127" s="498">
        <f t="shared" ca="1" si="19"/>
        <v>0</v>
      </c>
    </row>
    <row r="128" spans="1:4">
      <c r="A128" s="498" t="s">
        <v>1574</v>
      </c>
      <c r="B128" s="498" t="str">
        <f t="shared" ca="1" si="18"/>
        <v>Contact First Name</v>
      </c>
      <c r="C128" s="505">
        <f t="shared" ca="1" si="20"/>
        <v>0</v>
      </c>
      <c r="D128" s="498">
        <f t="shared" ca="1" si="19"/>
        <v>0</v>
      </c>
    </row>
    <row r="129" spans="1:5">
      <c r="A129" s="498" t="s">
        <v>1575</v>
      </c>
      <c r="B129" s="498" t="str">
        <f t="shared" ca="1" si="18"/>
        <v>Last Name</v>
      </c>
      <c r="C129" s="505">
        <f t="shared" ca="1" si="20"/>
        <v>0</v>
      </c>
      <c r="D129" s="498">
        <f t="shared" ca="1" si="19"/>
        <v>0</v>
      </c>
    </row>
    <row r="130" spans="1:5">
      <c r="A130" s="498" t="s">
        <v>1576</v>
      </c>
      <c r="B130" s="498" t="str">
        <f t="shared" ca="1" si="18"/>
        <v>Title</v>
      </c>
      <c r="C130" s="505">
        <f t="shared" ca="1" si="20"/>
        <v>0</v>
      </c>
      <c r="D130" s="498">
        <f t="shared" ca="1" si="19"/>
        <v>0</v>
      </c>
    </row>
    <row r="131" spans="1:5">
      <c r="A131" s="498" t="s">
        <v>1577</v>
      </c>
      <c r="B131" s="498" t="str">
        <f t="shared" ca="1" si="18"/>
        <v>Primary Phone</v>
      </c>
      <c r="C131" s="505">
        <f t="shared" ca="1" si="20"/>
        <v>0</v>
      </c>
      <c r="D131" s="498">
        <f t="shared" ca="1" si="19"/>
        <v>0</v>
      </c>
    </row>
    <row r="132" spans="1:5">
      <c r="A132" s="498" t="s">
        <v>1578</v>
      </c>
      <c r="B132" s="498" t="str">
        <f t="shared" ca="1" si="18"/>
        <v>Email</v>
      </c>
      <c r="C132" s="505">
        <f t="shared" ca="1" si="20"/>
        <v>0</v>
      </c>
      <c r="D132" s="498">
        <f t="shared" ca="1" si="19"/>
        <v>0</v>
      </c>
    </row>
    <row r="133" spans="1:5">
      <c r="A133" s="498" t="s">
        <v>1579</v>
      </c>
      <c r="B133" s="498" t="str">
        <f t="shared" ca="1" si="18"/>
        <v>Company</v>
      </c>
      <c r="C133" s="505">
        <f t="shared" ca="1" si="20"/>
        <v>0</v>
      </c>
      <c r="D133" s="498">
        <f t="shared" ca="1" si="19"/>
        <v>0</v>
      </c>
    </row>
    <row r="134" spans="1:5">
      <c r="A134" s="498" t="s">
        <v>1580</v>
      </c>
      <c r="B134" s="498" t="str">
        <f t="shared" ca="1" si="18"/>
        <v>Mailing Address</v>
      </c>
      <c r="C134" s="505">
        <f t="shared" ca="1" si="20"/>
        <v>0</v>
      </c>
      <c r="D134" s="498">
        <f t="shared" ca="1" si="19"/>
        <v>0</v>
      </c>
    </row>
    <row r="135" spans="1:5">
      <c r="A135" s="498" t="s">
        <v>1581</v>
      </c>
      <c r="B135" s="498" t="str">
        <f t="shared" ca="1" si="18"/>
        <v>City</v>
      </c>
      <c r="C135" s="505">
        <f t="shared" ca="1" si="20"/>
        <v>0</v>
      </c>
      <c r="D135" s="498">
        <f t="shared" ca="1" si="19"/>
        <v>0</v>
      </c>
    </row>
    <row r="136" spans="1:5">
      <c r="A136" s="498" t="s">
        <v>1582</v>
      </c>
      <c r="B136" s="498" t="str">
        <f t="shared" ca="1" si="18"/>
        <v>State</v>
      </c>
      <c r="C136" s="505">
        <f t="shared" ca="1" si="20"/>
        <v>0</v>
      </c>
      <c r="D136" s="498">
        <f t="shared" ca="1" si="19"/>
        <v>0</v>
      </c>
    </row>
    <row r="137" spans="1:5">
      <c r="A137" s="498" t="s">
        <v>1583</v>
      </c>
      <c r="B137" s="498" t="str">
        <f t="shared" ca="1" si="18"/>
        <v>Zip Code</v>
      </c>
      <c r="C137" s="505">
        <f t="shared" ca="1" si="20"/>
        <v>0</v>
      </c>
      <c r="D137" s="498">
        <f t="shared" ca="1" si="19"/>
        <v>0</v>
      </c>
    </row>
    <row r="138" spans="1:5">
      <c r="A138" s="498" t="s">
        <v>1584</v>
      </c>
      <c r="B138" s="498" t="str">
        <f t="shared" ca="1" si="18"/>
        <v>Contact First Name</v>
      </c>
      <c r="C138" s="505">
        <f t="shared" ca="1" si="20"/>
        <v>0</v>
      </c>
      <c r="D138" s="498">
        <f t="shared" ca="1" si="19"/>
        <v>0</v>
      </c>
    </row>
    <row r="139" spans="1:5">
      <c r="A139" s="498" t="s">
        <v>1585</v>
      </c>
      <c r="B139" s="498" t="str">
        <f t="shared" ca="1" si="18"/>
        <v>Last Name</v>
      </c>
      <c r="C139" s="505">
        <f t="shared" ca="1" si="20"/>
        <v>0</v>
      </c>
      <c r="D139" s="498">
        <f t="shared" ca="1" si="19"/>
        <v>0</v>
      </c>
    </row>
    <row r="140" spans="1:5">
      <c r="A140" s="498" t="s">
        <v>1586</v>
      </c>
      <c r="B140" s="498" t="str">
        <f t="shared" ca="1" si="18"/>
        <v>Title</v>
      </c>
      <c r="C140" s="505">
        <f t="shared" ca="1" si="20"/>
        <v>0</v>
      </c>
      <c r="D140" s="498">
        <f t="shared" ca="1" si="19"/>
        <v>0</v>
      </c>
    </row>
    <row r="141" spans="1:5">
      <c r="A141" s="498" t="s">
        <v>1587</v>
      </c>
      <c r="B141" s="498" t="str">
        <f t="shared" ca="1" si="18"/>
        <v>Primary Phone</v>
      </c>
      <c r="C141" s="505">
        <f t="shared" ca="1" si="20"/>
        <v>0</v>
      </c>
      <c r="D141" s="498">
        <f t="shared" ca="1" si="19"/>
        <v>0</v>
      </c>
    </row>
    <row r="142" spans="1:5">
      <c r="A142" s="498" t="s">
        <v>1588</v>
      </c>
      <c r="B142" s="498" t="str">
        <f t="shared" ca="1" si="18"/>
        <v>Email</v>
      </c>
      <c r="C142" s="505">
        <f t="shared" ca="1" si="20"/>
        <v>0</v>
      </c>
      <c r="D142" s="498">
        <f t="shared" ca="1" si="19"/>
        <v>0</v>
      </c>
    </row>
    <row r="144" spans="1:5">
      <c r="A144" s="499"/>
      <c r="C144" t="s">
        <v>21</v>
      </c>
      <c r="D144" t="s">
        <v>180</v>
      </c>
      <c r="E144" t="s">
        <v>780</v>
      </c>
    </row>
    <row r="145" spans="1:6">
      <c r="A145" s="496" t="s">
        <v>2045</v>
      </c>
      <c r="B145" s="496" t="str">
        <f>N2S3</f>
        <v>Customer &amp; Building Information</v>
      </c>
      <c r="C145" s="496">
        <f ca="1">SUMIF(D146:D181, 1, C146:C181)</f>
        <v>0</v>
      </c>
      <c r="D145" s="496">
        <f ca="1">SUM(D146:D181)</f>
        <v>31</v>
      </c>
      <c r="E145" s="497">
        <f ca="1">IFERROR(C145/D145, 1)</f>
        <v>0</v>
      </c>
      <c r="F145" s="59" t="s">
        <v>1652</v>
      </c>
    </row>
    <row r="146" spans="1:6">
      <c r="A146" s="498" t="s">
        <v>1589</v>
      </c>
      <c r="B146" s="498" t="str">
        <f t="shared" ref="B146:B181" ca="1" si="21">OFFSET(INDIRECT(A146),-1,0)</f>
        <v>Legal Company Name*</v>
      </c>
      <c r="C146" s="505">
        <f ca="1">IF(INDIRECT($A146)="",0,1)</f>
        <v>0</v>
      </c>
      <c r="D146" s="498">
        <f t="shared" ref="D146:D181" ca="1" si="22">IFERROR(IF(SEARCH("~*", B146), 1), 0)</f>
        <v>1</v>
      </c>
    </row>
    <row r="147" spans="1:6">
      <c r="A147" s="498" t="s">
        <v>1590</v>
      </c>
      <c r="B147" s="498" t="str">
        <f t="shared" ca="1" si="21"/>
        <v>Company Address*</v>
      </c>
      <c r="C147" s="505">
        <f t="shared" ref="C147:C162" ca="1" si="23">IF(INDIRECT($A147)="",0,1)</f>
        <v>0</v>
      </c>
      <c r="D147" s="498">
        <f t="shared" ca="1" si="22"/>
        <v>1</v>
      </c>
    </row>
    <row r="148" spans="1:6">
      <c r="A148" s="498" t="s">
        <v>1591</v>
      </c>
      <c r="B148" s="498" t="str">
        <f t="shared" ca="1" si="21"/>
        <v>City*</v>
      </c>
      <c r="C148" s="505">
        <f t="shared" ca="1" si="23"/>
        <v>0</v>
      </c>
      <c r="D148" s="498">
        <f t="shared" ca="1" si="22"/>
        <v>1</v>
      </c>
    </row>
    <row r="149" spans="1:6">
      <c r="A149" s="498" t="s">
        <v>1592</v>
      </c>
      <c r="B149" s="498" t="str">
        <f t="shared" ca="1" si="21"/>
        <v>State/ Province*</v>
      </c>
      <c r="C149" s="505">
        <f t="shared" ca="1" si="23"/>
        <v>0</v>
      </c>
      <c r="D149" s="498">
        <f t="shared" ca="1" si="22"/>
        <v>1</v>
      </c>
    </row>
    <row r="150" spans="1:6">
      <c r="A150" s="498" t="s">
        <v>1593</v>
      </c>
      <c r="B150" s="498" t="str">
        <f t="shared" ca="1" si="21"/>
        <v>Zip/ Postal Code*</v>
      </c>
      <c r="C150" s="505">
        <f t="shared" ca="1" si="23"/>
        <v>0</v>
      </c>
      <c r="D150" s="498">
        <f t="shared" ca="1" si="22"/>
        <v>1</v>
      </c>
    </row>
    <row r="151" spans="1:6">
      <c r="A151" s="498" t="s">
        <v>1594</v>
      </c>
      <c r="B151" s="498" t="str">
        <f t="shared" ca="1" si="21"/>
        <v>Contact First Name*</v>
      </c>
      <c r="C151" s="505">
        <f t="shared" ca="1" si="23"/>
        <v>0</v>
      </c>
      <c r="D151" s="498">
        <f t="shared" ca="1" si="22"/>
        <v>1</v>
      </c>
    </row>
    <row r="152" spans="1:6">
      <c r="A152" s="498" t="s">
        <v>1595</v>
      </c>
      <c r="B152" s="498" t="str">
        <f t="shared" ca="1" si="21"/>
        <v>Last Name*</v>
      </c>
      <c r="C152" s="505">
        <f t="shared" ca="1" si="23"/>
        <v>0</v>
      </c>
      <c r="D152" s="498">
        <f t="shared" ca="1" si="22"/>
        <v>1</v>
      </c>
    </row>
    <row r="153" spans="1:6">
      <c r="A153" s="498" t="s">
        <v>1596</v>
      </c>
      <c r="B153" s="498" t="str">
        <f t="shared" ca="1" si="21"/>
        <v>Title*</v>
      </c>
      <c r="C153" s="505">
        <f t="shared" ca="1" si="23"/>
        <v>0</v>
      </c>
      <c r="D153" s="498">
        <f t="shared" ca="1" si="22"/>
        <v>1</v>
      </c>
    </row>
    <row r="154" spans="1:6">
      <c r="A154" s="498" t="s">
        <v>1597</v>
      </c>
      <c r="B154" s="498" t="str">
        <f t="shared" ca="1" si="21"/>
        <v>Primary Phone*</v>
      </c>
      <c r="C154" s="505">
        <f t="shared" ca="1" si="23"/>
        <v>0</v>
      </c>
      <c r="D154" s="498">
        <f t="shared" ca="1" si="22"/>
        <v>1</v>
      </c>
    </row>
    <row r="155" spans="1:6">
      <c r="A155" s="498" t="s">
        <v>1598</v>
      </c>
      <c r="B155" s="498" t="str">
        <f t="shared" ca="1" si="21"/>
        <v>Email*</v>
      </c>
      <c r="C155" s="505">
        <f t="shared" ca="1" si="23"/>
        <v>0</v>
      </c>
      <c r="D155" s="498">
        <f t="shared" ca="1" si="22"/>
        <v>1</v>
      </c>
    </row>
    <row r="156" spans="1:6">
      <c r="A156" s="498" t="s">
        <v>1599</v>
      </c>
      <c r="B156" s="498" t="str">
        <f t="shared" ca="1" si="21"/>
        <v>Account Number 1</v>
      </c>
      <c r="C156" s="505">
        <f t="shared" ca="1" si="23"/>
        <v>0</v>
      </c>
      <c r="D156" s="498">
        <f t="shared" ca="1" si="22"/>
        <v>0</v>
      </c>
    </row>
    <row r="157" spans="1:6">
      <c r="A157" s="498" t="s">
        <v>1600</v>
      </c>
      <c r="B157" s="498" t="str">
        <f t="shared" ca="1" si="21"/>
        <v>Account Number 2</v>
      </c>
      <c r="C157" s="505">
        <f t="shared" ca="1" si="23"/>
        <v>0</v>
      </c>
      <c r="D157" s="498">
        <f t="shared" ca="1" si="22"/>
        <v>0</v>
      </c>
    </row>
    <row r="158" spans="1:6">
      <c r="A158" s="498" t="s">
        <v>1601</v>
      </c>
      <c r="B158" s="498" t="str">
        <f t="shared" ca="1" si="21"/>
        <v>Utility Rate Code*</v>
      </c>
      <c r="C158" s="505">
        <f t="shared" ca="1" si="23"/>
        <v>0</v>
      </c>
      <c r="D158" s="498">
        <f t="shared" ca="1" si="22"/>
        <v>1</v>
      </c>
    </row>
    <row r="159" spans="1:6">
      <c r="A159" s="498" t="s">
        <v>1602</v>
      </c>
      <c r="B159" s="498" t="str">
        <f t="shared" ca="1" si="21"/>
        <v>Utility Electric Rate* ($/kWh)</v>
      </c>
      <c r="C159" s="505">
        <f t="shared" ca="1" si="23"/>
        <v>0</v>
      </c>
      <c r="D159" s="498">
        <f t="shared" ca="1" si="22"/>
        <v>1</v>
      </c>
    </row>
    <row r="160" spans="1:6">
      <c r="A160" s="498" t="s">
        <v>1603</v>
      </c>
      <c r="B160" s="498" t="str">
        <f t="shared" ca="1" si="21"/>
        <v>Site Name*</v>
      </c>
      <c r="C160" s="505">
        <f t="shared" ca="1" si="23"/>
        <v>0</v>
      </c>
      <c r="D160" s="498">
        <f t="shared" ca="1" si="22"/>
        <v>1</v>
      </c>
    </row>
    <row r="161" spans="1:4">
      <c r="A161" s="498" t="s">
        <v>1604</v>
      </c>
      <c r="B161" s="498" t="str">
        <f t="shared" ca="1" si="21"/>
        <v>Site Address*</v>
      </c>
      <c r="C161" s="505">
        <f t="shared" ca="1" si="23"/>
        <v>0</v>
      </c>
      <c r="D161" s="498">
        <f t="shared" ca="1" si="22"/>
        <v>1</v>
      </c>
    </row>
    <row r="162" spans="1:4">
      <c r="A162" s="498" t="s">
        <v>1605</v>
      </c>
      <c r="B162" s="498" t="str">
        <f t="shared" ca="1" si="21"/>
        <v>City*</v>
      </c>
      <c r="C162" s="505">
        <f t="shared" ca="1" si="23"/>
        <v>0</v>
      </c>
      <c r="D162" s="498">
        <f t="shared" ca="1" si="22"/>
        <v>1</v>
      </c>
    </row>
    <row r="163" spans="1:4">
      <c r="A163" s="498" t="s">
        <v>1606</v>
      </c>
      <c r="B163" s="498" t="str">
        <f t="shared" ca="1" si="21"/>
        <v>State</v>
      </c>
      <c r="C163" s="505">
        <f t="shared" ref="C163:C181" ca="1" si="24">IF(INDIRECT($A163)="",0,1)</f>
        <v>1</v>
      </c>
      <c r="D163" s="498">
        <f t="shared" ca="1" si="22"/>
        <v>0</v>
      </c>
    </row>
    <row r="164" spans="1:4">
      <c r="A164" s="498" t="s">
        <v>1607</v>
      </c>
      <c r="B164" s="498" t="str">
        <f t="shared" ca="1" si="21"/>
        <v>Zip Code*</v>
      </c>
      <c r="C164" s="505">
        <f t="shared" ca="1" si="24"/>
        <v>0</v>
      </c>
      <c r="D164" s="498">
        <f t="shared" ca="1" si="22"/>
        <v>1</v>
      </c>
    </row>
    <row r="165" spans="1:4">
      <c r="A165" s="498" t="s">
        <v>1608</v>
      </c>
      <c r="B165" s="498">
        <f ca="1">OFFSET(INDIRECT(A165),0,-12)</f>
        <v>0</v>
      </c>
      <c r="C165" s="505">
        <f t="shared" ca="1" si="24"/>
        <v>0</v>
      </c>
      <c r="D165" s="498">
        <f t="shared" ca="1" si="22"/>
        <v>0</v>
      </c>
    </row>
    <row r="166" spans="1:4">
      <c r="A166" s="498" t="s">
        <v>1609</v>
      </c>
      <c r="B166" s="498" t="str">
        <f t="shared" ca="1" si="21"/>
        <v>Contact First Name*</v>
      </c>
      <c r="C166" s="505">
        <f t="shared" ca="1" si="24"/>
        <v>0</v>
      </c>
      <c r="D166" s="498">
        <f t="shared" ca="1" si="22"/>
        <v>1</v>
      </c>
    </row>
    <row r="167" spans="1:4">
      <c r="A167" s="498" t="s">
        <v>1610</v>
      </c>
      <c r="B167" s="498" t="str">
        <f t="shared" ca="1" si="21"/>
        <v>Last Name*</v>
      </c>
      <c r="C167" s="505">
        <f t="shared" ca="1" si="24"/>
        <v>0</v>
      </c>
      <c r="D167" s="498">
        <f t="shared" ca="1" si="22"/>
        <v>1</v>
      </c>
    </row>
    <row r="168" spans="1:4">
      <c r="A168" s="498" t="s">
        <v>1611</v>
      </c>
      <c r="B168" s="498" t="str">
        <f t="shared" ca="1" si="21"/>
        <v>Title*</v>
      </c>
      <c r="C168" s="505">
        <f t="shared" ca="1" si="24"/>
        <v>0</v>
      </c>
      <c r="D168" s="498">
        <f t="shared" ca="1" si="22"/>
        <v>1</v>
      </c>
    </row>
    <row r="169" spans="1:4">
      <c r="A169" s="498" t="s">
        <v>1612</v>
      </c>
      <c r="B169" s="498" t="str">
        <f t="shared" ca="1" si="21"/>
        <v>Primary Phone*</v>
      </c>
      <c r="C169" s="505">
        <f t="shared" ca="1" si="24"/>
        <v>0</v>
      </c>
      <c r="D169" s="498">
        <f t="shared" ca="1" si="22"/>
        <v>1</v>
      </c>
    </row>
    <row r="170" spans="1:4">
      <c r="A170" s="498" t="s">
        <v>1613</v>
      </c>
      <c r="B170" s="498" t="str">
        <f t="shared" ca="1" si="21"/>
        <v>Email*</v>
      </c>
      <c r="C170" s="505">
        <f t="shared" ca="1" si="24"/>
        <v>0</v>
      </c>
      <c r="D170" s="498">
        <f t="shared" ca="1" si="22"/>
        <v>1</v>
      </c>
    </row>
    <row r="171" spans="1:4">
      <c r="A171" s="498" t="s">
        <v>1614</v>
      </c>
      <c r="B171" s="498" t="str">
        <f t="shared" ca="1" si="21"/>
        <v>Project Name / ID*</v>
      </c>
      <c r="C171" s="505">
        <f t="shared" ca="1" si="24"/>
        <v>0</v>
      </c>
      <c r="D171" s="498">
        <f t="shared" ca="1" si="22"/>
        <v>1</v>
      </c>
    </row>
    <row r="172" spans="1:4">
      <c r="A172" s="498" t="s">
        <v>1615</v>
      </c>
      <c r="B172" s="498" t="str">
        <f t="shared" ca="1" si="21"/>
        <v>Evergy Contact*</v>
      </c>
      <c r="C172" s="505">
        <f t="shared" ca="1" si="24"/>
        <v>0</v>
      </c>
      <c r="D172" s="498">
        <f t="shared" ca="1" si="22"/>
        <v>1</v>
      </c>
    </row>
    <row r="173" spans="1:4">
      <c r="A173" s="498" t="s">
        <v>1616</v>
      </c>
      <c r="B173" s="498" t="str">
        <f t="shared" ca="1" si="21"/>
        <v>Annual Operating Hours*</v>
      </c>
      <c r="C173" s="505">
        <f t="shared" ca="1" si="24"/>
        <v>0</v>
      </c>
      <c r="D173" s="498">
        <f t="shared" ca="1" si="22"/>
        <v>1</v>
      </c>
    </row>
    <row r="174" spans="1:4">
      <c r="A174" s="498" t="s">
        <v>1617</v>
      </c>
      <c r="B174" s="498" t="str">
        <f t="shared" ca="1" si="21"/>
        <v>Space Conditioning Type*</v>
      </c>
      <c r="C174" s="505">
        <f t="shared" ca="1" si="24"/>
        <v>0</v>
      </c>
      <c r="D174" s="498">
        <f t="shared" ca="1" si="22"/>
        <v>1</v>
      </c>
    </row>
    <row r="175" spans="1:4">
      <c r="A175" s="498" t="s">
        <v>1618</v>
      </c>
      <c r="B175" s="498" t="str">
        <f t="shared" ca="1" si="21"/>
        <v>How did you hear about the Program?*</v>
      </c>
      <c r="C175" s="505">
        <f t="shared" ca="1" si="24"/>
        <v>0</v>
      </c>
      <c r="D175" s="498">
        <f t="shared" ca="1" si="22"/>
        <v>1</v>
      </c>
    </row>
    <row r="176" spans="1:4">
      <c r="A176" s="498" t="s">
        <v>1619</v>
      </c>
      <c r="B176" s="498" t="str">
        <f t="shared" ca="1" si="21"/>
        <v>Square Footage*</v>
      </c>
      <c r="C176" s="505">
        <f t="shared" ca="1" si="24"/>
        <v>0</v>
      </c>
      <c r="D176" s="498">
        <f t="shared" ca="1" si="22"/>
        <v>1</v>
      </c>
    </row>
    <row r="177" spans="1:6">
      <c r="A177" s="498" t="s">
        <v>1620</v>
      </c>
      <c r="B177" s="498" t="str">
        <f t="shared" ca="1" si="21"/>
        <v>Legal/Contractual Requirements*</v>
      </c>
      <c r="C177" s="505">
        <f t="shared" ca="1" si="24"/>
        <v>0</v>
      </c>
      <c r="D177" s="498">
        <f t="shared" ca="1" si="22"/>
        <v>1</v>
      </c>
    </row>
    <row r="178" spans="1:6">
      <c r="A178" s="498" t="s">
        <v>1621</v>
      </c>
      <c r="B178" s="498" t="str">
        <f t="shared" ca="1" si="21"/>
        <v>New Construction Project Type*</v>
      </c>
      <c r="C178" s="505">
        <f t="shared" ca="1" si="24"/>
        <v>0</v>
      </c>
      <c r="D178" s="498">
        <f t="shared" ca="1" si="22"/>
        <v>1</v>
      </c>
    </row>
    <row r="179" spans="1:6">
      <c r="A179" s="498" t="s">
        <v>1622</v>
      </c>
      <c r="B179" s="498" t="str">
        <f t="shared" ca="1" si="21"/>
        <v>New Building Type*</v>
      </c>
      <c r="C179" s="505">
        <f t="shared" ca="1" si="24"/>
        <v>0</v>
      </c>
      <c r="D179" s="498">
        <f t="shared" ca="1" si="22"/>
        <v>1</v>
      </c>
    </row>
    <row r="180" spans="1:6">
      <c r="A180" s="498" t="s">
        <v>1623</v>
      </c>
      <c r="B180" s="498" t="str">
        <f t="shared" ca="1" si="21"/>
        <v>Existing Building Type</v>
      </c>
      <c r="C180" s="505">
        <f t="shared" ca="1" si="24"/>
        <v>0</v>
      </c>
      <c r="D180" s="498">
        <f t="shared" ca="1" si="22"/>
        <v>0</v>
      </c>
    </row>
    <row r="181" spans="1:6">
      <c r="A181" s="498" t="s">
        <v>1624</v>
      </c>
      <c r="B181" s="498" t="str">
        <f t="shared" ca="1" si="21"/>
        <v>Project Description*</v>
      </c>
      <c r="C181" s="505">
        <f t="shared" ca="1" si="24"/>
        <v>0</v>
      </c>
      <c r="D181" s="498">
        <f t="shared" ca="1" si="22"/>
        <v>1</v>
      </c>
    </row>
    <row r="183" spans="1:6">
      <c r="A183" s="499"/>
      <c r="C183" t="s">
        <v>21</v>
      </c>
      <c r="D183" t="s">
        <v>180</v>
      </c>
      <c r="E183" t="s">
        <v>780</v>
      </c>
    </row>
    <row r="184" spans="1:6">
      <c r="A184" s="496" t="s">
        <v>2045</v>
      </c>
      <c r="B184" s="496" t="str">
        <f>N2S4</f>
        <v>Design Team Meeting</v>
      </c>
      <c r="C184" s="496">
        <f ca="1">SUMIF(D185:D208, 1, C185:C208)</f>
        <v>0</v>
      </c>
      <c r="D184" s="496">
        <f ca="1">SUM(D185:D208)</f>
        <v>0</v>
      </c>
      <c r="E184" s="497">
        <f ca="1">IFERROR(C184/D184, 1)</f>
        <v>1</v>
      </c>
      <c r="F184" s="59" t="s">
        <v>1655</v>
      </c>
    </row>
    <row r="185" spans="1:6">
      <c r="A185" s="498" t="s">
        <v>1625</v>
      </c>
      <c r="B185" s="498" t="str">
        <f ca="1">OFFSET(INDIRECT(A185),1,0)</f>
        <v>Start</v>
      </c>
      <c r="C185" s="505">
        <f t="shared" ref="C185:C191" ca="1" si="25">IF(INDIRECT($A185)="",0,1)</f>
        <v>0</v>
      </c>
      <c r="D185" s="498">
        <f t="shared" ref="D185:D191" ca="1" si="26">IFERROR(IF(SEARCH("~*", B185), 1), 0)</f>
        <v>0</v>
      </c>
    </row>
    <row r="186" spans="1:6">
      <c r="A186" s="498" t="s">
        <v>1626</v>
      </c>
      <c r="B186" s="498" t="str">
        <f t="shared" ref="B186:B190" ca="1" si="27">OFFSET(INDIRECT(A186),1,0)</f>
        <v>End</v>
      </c>
      <c r="C186" s="505">
        <f t="shared" ca="1" si="25"/>
        <v>0</v>
      </c>
      <c r="D186" s="498">
        <f t="shared" ca="1" si="26"/>
        <v>0</v>
      </c>
    </row>
    <row r="187" spans="1:6">
      <c r="A187" s="498" t="s">
        <v>1627</v>
      </c>
      <c r="B187" s="498" t="str">
        <f t="shared" ca="1" si="27"/>
        <v>Start</v>
      </c>
      <c r="C187" s="505">
        <f t="shared" ca="1" si="25"/>
        <v>0</v>
      </c>
      <c r="D187" s="498">
        <f t="shared" ca="1" si="26"/>
        <v>0</v>
      </c>
    </row>
    <row r="188" spans="1:6">
      <c r="A188" s="498" t="s">
        <v>1628</v>
      </c>
      <c r="B188" s="498" t="str">
        <f t="shared" ca="1" si="27"/>
        <v>End</v>
      </c>
      <c r="C188" s="505">
        <f t="shared" ca="1" si="25"/>
        <v>0</v>
      </c>
      <c r="D188" s="498">
        <f t="shared" ca="1" si="26"/>
        <v>0</v>
      </c>
    </row>
    <row r="189" spans="1:6">
      <c r="A189" s="498" t="s">
        <v>1629</v>
      </c>
      <c r="B189" s="498" t="str">
        <f t="shared" ca="1" si="27"/>
        <v>Start</v>
      </c>
      <c r="C189" s="505">
        <f t="shared" ca="1" si="25"/>
        <v>0</v>
      </c>
      <c r="D189" s="498">
        <f t="shared" ca="1" si="26"/>
        <v>0</v>
      </c>
    </row>
    <row r="190" spans="1:6">
      <c r="A190" s="498" t="s">
        <v>1630</v>
      </c>
      <c r="B190" s="498" t="str">
        <f t="shared" ca="1" si="27"/>
        <v>End</v>
      </c>
      <c r="C190" s="505">
        <f t="shared" ca="1" si="25"/>
        <v>0</v>
      </c>
      <c r="D190" s="498">
        <f t="shared" ca="1" si="26"/>
        <v>0</v>
      </c>
    </row>
    <row r="191" spans="1:6">
      <c r="A191" s="498" t="s">
        <v>1631</v>
      </c>
      <c r="B191" s="498" t="s">
        <v>2047</v>
      </c>
      <c r="C191" s="505">
        <f t="shared" ca="1" si="25"/>
        <v>0</v>
      </c>
      <c r="D191" s="498">
        <f t="shared" si="26"/>
        <v>0</v>
      </c>
    </row>
    <row r="192" spans="1:6">
      <c r="A192" s="498"/>
      <c r="B192" s="498" t="s">
        <v>1777</v>
      </c>
      <c r="C192" s="505" t="b">
        <f>IF(N02S03F31&gt;100000,TRUE,FALSE)</f>
        <v>0</v>
      </c>
      <c r="D192" s="498"/>
    </row>
    <row r="193" spans="1:4">
      <c r="A193" s="498"/>
      <c r="B193" s="498" t="s">
        <v>1778</v>
      </c>
      <c r="C193" s="505">
        <v>0</v>
      </c>
      <c r="D193" s="498"/>
    </row>
    <row r="194" spans="1:4">
      <c r="A194" s="498" t="s">
        <v>1931</v>
      </c>
      <c r="B194" s="498" t="s">
        <v>1947</v>
      </c>
      <c r="C194" s="505"/>
      <c r="D194" s="498"/>
    </row>
    <row r="195" spans="1:4">
      <c r="A195" s="498" t="s">
        <v>1932</v>
      </c>
      <c r="B195" s="498" t="s">
        <v>1946</v>
      </c>
      <c r="C195" s="505"/>
      <c r="D195" s="498"/>
    </row>
    <row r="196" spans="1:4">
      <c r="A196" s="498" t="s">
        <v>1933</v>
      </c>
      <c r="B196" s="498" t="s">
        <v>1948</v>
      </c>
      <c r="C196" s="505"/>
      <c r="D196" s="498"/>
    </row>
    <row r="197" spans="1:4">
      <c r="A197" s="498" t="s">
        <v>1934</v>
      </c>
      <c r="B197" s="498" t="s">
        <v>1949</v>
      </c>
      <c r="C197" s="505" t="b">
        <v>0</v>
      </c>
      <c r="D197" s="498"/>
    </row>
    <row r="198" spans="1:4">
      <c r="A198" s="498" t="s">
        <v>1935</v>
      </c>
      <c r="B198" s="498" t="s">
        <v>1950</v>
      </c>
      <c r="C198" s="505" t="b">
        <v>0</v>
      </c>
      <c r="D198" s="498"/>
    </row>
    <row r="199" spans="1:4">
      <c r="A199" s="498" t="s">
        <v>1936</v>
      </c>
      <c r="B199" s="498" t="s">
        <v>1951</v>
      </c>
      <c r="C199" s="505" t="b">
        <v>0</v>
      </c>
      <c r="D199" s="498"/>
    </row>
    <row r="200" spans="1:4">
      <c r="A200" s="498" t="s">
        <v>1937</v>
      </c>
      <c r="B200" s="498" t="s">
        <v>1952</v>
      </c>
      <c r="C200" s="505"/>
      <c r="D200" s="498"/>
    </row>
    <row r="201" spans="1:4">
      <c r="A201" s="498" t="s">
        <v>1938</v>
      </c>
      <c r="B201" s="498" t="s">
        <v>1953</v>
      </c>
      <c r="C201" s="505"/>
      <c r="D201" s="498"/>
    </row>
    <row r="202" spans="1:4">
      <c r="A202" s="498" t="s">
        <v>1939</v>
      </c>
      <c r="B202" s="498" t="s">
        <v>1954</v>
      </c>
      <c r="C202" s="505" t="b">
        <v>0</v>
      </c>
      <c r="D202" s="498"/>
    </row>
    <row r="203" spans="1:4">
      <c r="A203" s="498" t="s">
        <v>1940</v>
      </c>
      <c r="B203" s="498" t="s">
        <v>1955</v>
      </c>
      <c r="C203" s="505" t="b">
        <v>0</v>
      </c>
      <c r="D203" s="498"/>
    </row>
    <row r="204" spans="1:4">
      <c r="A204" s="498" t="s">
        <v>1941</v>
      </c>
      <c r="B204" s="498" t="s">
        <v>1956</v>
      </c>
      <c r="C204" s="505" t="b">
        <v>0</v>
      </c>
      <c r="D204" s="498"/>
    </row>
    <row r="205" spans="1:4">
      <c r="A205" s="498" t="s">
        <v>1942</v>
      </c>
      <c r="B205" s="498" t="s">
        <v>1957</v>
      </c>
      <c r="C205" s="505" t="b">
        <v>0</v>
      </c>
      <c r="D205" s="498"/>
    </row>
    <row r="206" spans="1:4">
      <c r="A206" s="498" t="s">
        <v>1943</v>
      </c>
      <c r="B206" s="498" t="s">
        <v>1958</v>
      </c>
      <c r="C206" s="505" t="b">
        <v>0</v>
      </c>
      <c r="D206" s="498"/>
    </row>
    <row r="207" spans="1:4">
      <c r="A207" s="498" t="s">
        <v>1944</v>
      </c>
      <c r="B207" s="498" t="s">
        <v>1959</v>
      </c>
      <c r="C207" s="505" t="b">
        <v>0</v>
      </c>
      <c r="D207" s="498"/>
    </row>
    <row r="208" spans="1:4">
      <c r="A208" s="498" t="s">
        <v>1945</v>
      </c>
      <c r="B208" s="498" t="s">
        <v>1960</v>
      </c>
      <c r="C208" s="505" t="b">
        <v>0</v>
      </c>
      <c r="D208" s="498"/>
    </row>
    <row r="210" spans="1:6">
      <c r="C210" t="s">
        <v>21</v>
      </c>
      <c r="D210" t="s">
        <v>180</v>
      </c>
      <c r="E210" t="s">
        <v>780</v>
      </c>
    </row>
    <row r="211" spans="1:6">
      <c r="A211" s="496" t="s">
        <v>2045</v>
      </c>
      <c r="B211" s="496" t="s">
        <v>181</v>
      </c>
      <c r="C211" s="496">
        <f>SUMIF(D212:D215, 1, C212:C215)</f>
        <v>0</v>
      </c>
      <c r="D211" s="496">
        <f>SUM(D212:D215)</f>
        <v>0</v>
      </c>
      <c r="E211" s="497">
        <f>IFERROR(C211/D211, 1)</f>
        <v>1</v>
      </c>
      <c r="F211" s="59" t="s">
        <v>1654</v>
      </c>
    </row>
    <row r="212" spans="1:6">
      <c r="A212" s="498" t="s">
        <v>1727</v>
      </c>
      <c r="B212" s="498" t="s">
        <v>1632</v>
      </c>
      <c r="C212" s="505">
        <f>IF(MEASTOTALLIGHT_N&gt;0,1,0)</f>
        <v>0</v>
      </c>
      <c r="D212" s="498">
        <f>IF(AND(N02S04TB1 = 1, ACTIVECOMPL_N = "Yes"),1,0)</f>
        <v>0</v>
      </c>
      <c r="E212" s="500"/>
    </row>
    <row r="213" spans="1:6">
      <c r="A213" s="498" t="s">
        <v>1724</v>
      </c>
      <c r="B213" s="498" t="s">
        <v>1633</v>
      </c>
      <c r="C213" s="505">
        <f>IF(MEASTOTALPRES_N&gt;0,1,0)</f>
        <v>0</v>
      </c>
      <c r="D213" s="498">
        <f>IF(AND(N02S04TB3 = 1, ACTIVECOMPL_N = "Yes"),1,0)</f>
        <v>0</v>
      </c>
    </row>
    <row r="214" spans="1:6">
      <c r="A214" s="498" t="s">
        <v>1725</v>
      </c>
      <c r="B214" s="498" t="s">
        <v>1370</v>
      </c>
      <c r="C214" s="505">
        <f>IF(MEASTOTALCUS_N&gt;0,1,0)</f>
        <v>0</v>
      </c>
      <c r="D214" s="498">
        <f>IF(N02S04TB7=1,1,0)</f>
        <v>0</v>
      </c>
    </row>
    <row r="215" spans="1:6">
      <c r="A215" s="498" t="s">
        <v>1726</v>
      </c>
      <c r="B215" s="498" t="s">
        <v>1634</v>
      </c>
      <c r="C215" s="505">
        <f>IF(MEASTOTALWBP_N&gt;0,1,0)</f>
        <v>0</v>
      </c>
      <c r="D215" s="498">
        <f>IF(C219=TRUE,1,0)</f>
        <v>0</v>
      </c>
    </row>
    <row r="217" spans="1:6">
      <c r="C217" t="s">
        <v>21</v>
      </c>
      <c r="D217" t="s">
        <v>180</v>
      </c>
      <c r="E217" t="s">
        <v>780</v>
      </c>
    </row>
    <row r="218" spans="1:6">
      <c r="A218" s="496" t="s">
        <v>2045</v>
      </c>
      <c r="B218" s="496" t="str">
        <f>N4S9</f>
        <v>Whole Building Performance</v>
      </c>
      <c r="C218" s="496">
        <f>SUMIF(D220:D229, 1, C220:C229)</f>
        <v>0</v>
      </c>
      <c r="D218" s="496">
        <f>SUM(D219:D229)</f>
        <v>0</v>
      </c>
      <c r="E218" s="497">
        <f>IFERROR(C218/D218, 1)</f>
        <v>1</v>
      </c>
      <c r="F218" s="59" t="s">
        <v>1723</v>
      </c>
    </row>
    <row r="219" spans="1:6">
      <c r="A219" s="498" t="s">
        <v>1226</v>
      </c>
      <c r="B219" s="498" t="s">
        <v>1717</v>
      </c>
      <c r="C219" s="505" t="b">
        <f>IF( AND(N02S03F31 &gt; 100000, N02S04TB8 = 1), TRUE)</f>
        <v>0</v>
      </c>
      <c r="D219" s="498">
        <f t="shared" ref="D219" si="28">IFERROR(IF(SEARCH("~*", B219), 1), 0)</f>
        <v>0</v>
      </c>
    </row>
    <row r="220" spans="1:6">
      <c r="A220" s="498" t="s">
        <v>1698</v>
      </c>
      <c r="B220" s="498" t="str">
        <f ca="1">OFFSET(INDIRECT(A220),-2,0)</f>
        <v>Please provide a brief narrative of the energy efficiency goals targeted for the project and describe how design and equipment selection helped the project toward this goal.*</v>
      </c>
      <c r="C220" s="505">
        <f t="shared" ref="C220:C229" ca="1" si="29">IF(INDIRECT($A220)="",0,1)</f>
        <v>0</v>
      </c>
      <c r="D220" s="498" t="str">
        <f>IF(C$219=TRUE, IFERROR(IF(SEARCH("~*", B220), 1), 0), "")</f>
        <v/>
      </c>
    </row>
    <row r="221" spans="1:6">
      <c r="A221" s="498" t="s">
        <v>1699</v>
      </c>
      <c r="B221" s="498" t="str">
        <f t="shared" ref="B221:B229" ca="1" si="30">OFFSET(INDIRECT(A221),-1,0)</f>
        <v>Model Completion Date*</v>
      </c>
      <c r="C221" s="505">
        <f t="shared" ca="1" si="29"/>
        <v>0</v>
      </c>
      <c r="D221" s="498" t="str">
        <f t="shared" ref="D221:D225" si="31">IF(C$219=TRUE, IFERROR(IF(SEARCH("~*", B221), 1), 0), "")</f>
        <v/>
      </c>
    </row>
    <row r="222" spans="1:6">
      <c r="A222" s="498" t="s">
        <v>1700</v>
      </c>
      <c r="B222" s="498" t="str">
        <f t="shared" ca="1" si="30"/>
        <v>Gross Square Footage*</v>
      </c>
      <c r="C222" s="505">
        <f t="shared" ca="1" si="29"/>
        <v>0</v>
      </c>
      <c r="D222" s="498" t="str">
        <f t="shared" si="31"/>
        <v/>
      </c>
    </row>
    <row r="223" spans="1:6">
      <c r="A223" s="498" t="s">
        <v>1701</v>
      </c>
      <c r="B223" s="498" t="str">
        <f t="shared" ca="1" si="30"/>
        <v>Conditioned Square Footage*</v>
      </c>
      <c r="C223" s="505">
        <f t="shared" ca="1" si="29"/>
        <v>0</v>
      </c>
      <c r="D223" s="498" t="str">
        <f t="shared" si="31"/>
        <v/>
      </c>
    </row>
    <row r="224" spans="1:6">
      <c r="A224" s="498" t="s">
        <v>1702</v>
      </c>
      <c r="B224" s="498" t="str">
        <f t="shared" ca="1" si="30"/>
        <v># of Stories Above Grade*</v>
      </c>
      <c r="C224" s="505">
        <f t="shared" ca="1" si="29"/>
        <v>0</v>
      </c>
      <c r="D224" s="498" t="str">
        <f t="shared" si="31"/>
        <v/>
      </c>
    </row>
    <row r="225" spans="1:6">
      <c r="A225" s="498" t="s">
        <v>1703</v>
      </c>
      <c r="B225" s="498" t="str">
        <f t="shared" ca="1" si="30"/>
        <v>Is the model based on as-built conditions?*</v>
      </c>
      <c r="C225" s="505">
        <f t="shared" ca="1" si="29"/>
        <v>0</v>
      </c>
      <c r="D225" s="498" t="str">
        <f t="shared" si="31"/>
        <v/>
      </c>
    </row>
    <row r="226" spans="1:6">
      <c r="A226" s="498" t="s">
        <v>1704</v>
      </c>
      <c r="B226" s="498" t="str">
        <f t="shared" ca="1" si="30"/>
        <v>If "no", please explain what the model is based on.</v>
      </c>
      <c r="C226" s="505">
        <f t="shared" ca="1" si="29"/>
        <v>0</v>
      </c>
      <c r="D226" s="498" t="str">
        <f>IF(N04S09F06="No", IFERROR(IF(SEARCH("~*", B226), 1), 0), "")</f>
        <v/>
      </c>
    </row>
    <row r="227" spans="1:6">
      <c r="A227" s="498" t="s">
        <v>1705</v>
      </c>
      <c r="B227" s="498" t="str">
        <f t="shared" ca="1" si="30"/>
        <v>New Construction Percentage*</v>
      </c>
      <c r="C227" s="505">
        <f t="shared" ca="1" si="29"/>
        <v>0</v>
      </c>
      <c r="D227" s="498" t="str">
        <f>IF(OR(N02S03F33="New Building",N02S03F33=""),"", IF($C$219=TRUE, IFERROR(IF(SEARCH("~*", B227), 1), 0)))</f>
        <v/>
      </c>
    </row>
    <row r="228" spans="1:6">
      <c r="A228" s="498" t="s">
        <v>1706</v>
      </c>
      <c r="B228" s="498" t="str">
        <f t="shared" ca="1" si="30"/>
        <v>Existing Renovation Percentage*</v>
      </c>
      <c r="C228" s="505">
        <f t="shared" ca="1" si="29"/>
        <v>0</v>
      </c>
      <c r="D228" s="498" t="str">
        <f>IF(OR(N02S03F33="New Building",N02S03F33=""),"", IF($C$219=TRUE, IFERROR(IF(SEARCH("~*", B228), 1), 0)))</f>
        <v/>
      </c>
    </row>
    <row r="229" spans="1:6">
      <c r="A229" s="498" t="s">
        <v>1707</v>
      </c>
      <c r="B229" s="498" t="str">
        <f t="shared" ca="1" si="30"/>
        <v>Year Built (Existing Building)*</v>
      </c>
      <c r="C229" s="505">
        <f t="shared" ca="1" si="29"/>
        <v>0</v>
      </c>
      <c r="D229" s="498" t="str">
        <f>IF(OR(N02S03F33="New Building",N02S03F33=""),"", IF($C$219=TRUE, IFERROR(IF(SEARCH("~*", B229), 1), 0)))</f>
        <v/>
      </c>
    </row>
    <row r="233" spans="1:6">
      <c r="C233" t="s">
        <v>21</v>
      </c>
      <c r="D233" t="s">
        <v>180</v>
      </c>
      <c r="E233" t="s">
        <v>780</v>
      </c>
    </row>
    <row r="234" spans="1:6">
      <c r="A234" s="496" t="s">
        <v>2045</v>
      </c>
      <c r="B234" s="496" t="str">
        <f>N5S1</f>
        <v>Payment</v>
      </c>
      <c r="C234" s="496">
        <f ca="1">SUMIF(D235:D249, 1, C235:C249) + IF(PayeeChckBox_N, 1)</f>
        <v>0</v>
      </c>
      <c r="D234" s="496">
        <f ca="1">SUM(D235:D250)</f>
        <v>13</v>
      </c>
      <c r="E234" s="497">
        <f ca="1">IFERROR(C234/D234, 1)</f>
        <v>0</v>
      </c>
      <c r="F234" s="59" t="s">
        <v>1653</v>
      </c>
    </row>
    <row r="235" spans="1:6">
      <c r="A235" s="498" t="s">
        <v>1635</v>
      </c>
      <c r="B235" s="498" t="str">
        <f ca="1">OFFSET(INDIRECT(A235),0,-5)</f>
        <v>Payment Type*</v>
      </c>
      <c r="C235" s="505">
        <f ca="1">IF(INDIRECT($A235)="",0,1)</f>
        <v>0</v>
      </c>
      <c r="D235" s="498">
        <f t="shared" ref="D235:D250" ca="1" si="32">IFERROR(IF(SEARCH("~*", B235), 1), 0)</f>
        <v>1</v>
      </c>
    </row>
    <row r="236" spans="1:6">
      <c r="A236" s="498" t="s">
        <v>1636</v>
      </c>
      <c r="B236" s="498" t="str">
        <f t="shared" ref="B236:B246" ca="1" si="33">OFFSET(INDIRECT(A236),-1,0)</f>
        <v>Payee Company Name"</v>
      </c>
      <c r="C236" s="505">
        <f t="shared" ref="C236:C246" ca="1" si="34">IF(INDIRECT($A236)="",0,1)</f>
        <v>0</v>
      </c>
      <c r="D236" s="498">
        <f t="shared" ca="1" si="32"/>
        <v>0</v>
      </c>
    </row>
    <row r="237" spans="1:6">
      <c r="A237" s="498" t="s">
        <v>1637</v>
      </c>
      <c r="B237" s="498" t="str">
        <f t="shared" ca="1" si="33"/>
        <v>Mailing Address*</v>
      </c>
      <c r="C237" s="505">
        <f t="shared" ca="1" si="34"/>
        <v>0</v>
      </c>
      <c r="D237" s="498">
        <f t="shared" ca="1" si="32"/>
        <v>1</v>
      </c>
    </row>
    <row r="238" spans="1:6">
      <c r="A238" s="498" t="s">
        <v>1638</v>
      </c>
      <c r="B238" s="498" t="str">
        <f t="shared" ca="1" si="33"/>
        <v>City*</v>
      </c>
      <c r="C238" s="505">
        <f t="shared" ca="1" si="34"/>
        <v>0</v>
      </c>
      <c r="D238" s="498">
        <f t="shared" ca="1" si="32"/>
        <v>1</v>
      </c>
    </row>
    <row r="239" spans="1:6">
      <c r="A239" s="498" t="s">
        <v>1639</v>
      </c>
      <c r="B239" s="498" t="str">
        <f t="shared" ca="1" si="33"/>
        <v>State/ Province*</v>
      </c>
      <c r="C239" s="505">
        <f t="shared" ca="1" si="34"/>
        <v>0</v>
      </c>
      <c r="D239" s="498">
        <f t="shared" ca="1" si="32"/>
        <v>1</v>
      </c>
    </row>
    <row r="240" spans="1:6">
      <c r="A240" s="498" t="s">
        <v>1640</v>
      </c>
      <c r="B240" s="498" t="str">
        <f t="shared" ca="1" si="33"/>
        <v>Zip/ Postal Code*</v>
      </c>
      <c r="C240" s="505">
        <f t="shared" ca="1" si="34"/>
        <v>0</v>
      </c>
      <c r="D240" s="498">
        <f t="shared" ca="1" si="32"/>
        <v>1</v>
      </c>
    </row>
    <row r="241" spans="1:4">
      <c r="A241" s="498" t="s">
        <v>1641</v>
      </c>
      <c r="B241" s="498" t="str">
        <f t="shared" ca="1" si="33"/>
        <v>Payee First Name*</v>
      </c>
      <c r="C241" s="505">
        <f t="shared" ca="1" si="34"/>
        <v>0</v>
      </c>
      <c r="D241" s="498">
        <f t="shared" ca="1" si="32"/>
        <v>1</v>
      </c>
    </row>
    <row r="242" spans="1:4">
      <c r="A242" s="498" t="s">
        <v>1642</v>
      </c>
      <c r="B242" s="498" t="str">
        <f t="shared" ca="1" si="33"/>
        <v>Payee Last Name*</v>
      </c>
      <c r="C242" s="505">
        <f t="shared" ca="1" si="34"/>
        <v>0</v>
      </c>
      <c r="D242" s="498">
        <f t="shared" ca="1" si="32"/>
        <v>1</v>
      </c>
    </row>
    <row r="243" spans="1:4">
      <c r="A243" s="498" t="s">
        <v>1643</v>
      </c>
      <c r="B243" s="498" t="str">
        <f t="shared" ca="1" si="33"/>
        <v>Phone Number*</v>
      </c>
      <c r="C243" s="505">
        <f t="shared" ca="1" si="34"/>
        <v>0</v>
      </c>
      <c r="D243" s="498">
        <f t="shared" ca="1" si="32"/>
        <v>1</v>
      </c>
    </row>
    <row r="244" spans="1:4">
      <c r="A244" s="498" t="s">
        <v>1644</v>
      </c>
      <c r="B244" s="498" t="str">
        <f t="shared" ca="1" si="33"/>
        <v>Email*</v>
      </c>
      <c r="C244" s="505">
        <f t="shared" ca="1" si="34"/>
        <v>0</v>
      </c>
      <c r="D244" s="498">
        <f t="shared" ca="1" si="32"/>
        <v>1</v>
      </c>
    </row>
    <row r="245" spans="1:4">
      <c r="A245" s="498" t="s">
        <v>1645</v>
      </c>
      <c r="B245" s="498" t="str">
        <f t="shared" ca="1" si="33"/>
        <v>Bill Credit Account*</v>
      </c>
      <c r="C245" s="505">
        <f t="shared" ca="1" si="34"/>
        <v>0</v>
      </c>
      <c r="D245" s="498" t="str">
        <f>IF(N05S01F01&lt;&gt;"Site (Bill Credit)","",IFERROR(IF(SEARCH("~*", B245), 1), 0))</f>
        <v/>
      </c>
    </row>
    <row r="246" spans="1:4">
      <c r="A246" s="498" t="s">
        <v>1646</v>
      </c>
      <c r="B246" s="498" t="str">
        <f t="shared" ca="1" si="33"/>
        <v>Tax Entity*</v>
      </c>
      <c r="C246" s="505">
        <f t="shared" ca="1" si="34"/>
        <v>0</v>
      </c>
      <c r="D246" s="498">
        <f t="shared" ca="1" si="32"/>
        <v>1</v>
      </c>
    </row>
    <row r="247" spans="1:4">
      <c r="A247" s="498" t="s">
        <v>1647</v>
      </c>
      <c r="B247" s="498" t="str">
        <f ca="1">OFFSET(INDIRECT(A247),-1,0)</f>
        <v>Federal Tax ID Number*</v>
      </c>
      <c r="C247" s="505">
        <f ca="1">IF(INDIRECT($A247)="",0,1)</f>
        <v>0</v>
      </c>
      <c r="D247" s="498">
        <f t="shared" ca="1" si="32"/>
        <v>1</v>
      </c>
    </row>
    <row r="248" spans="1:4">
      <c r="A248" s="498" t="s">
        <v>1648</v>
      </c>
      <c r="B248" s="498" t="str">
        <f ca="1">OFFSET(INDIRECT(A248),-1,-2)</f>
        <v>Federal Tax ID Number*</v>
      </c>
      <c r="C248" s="505">
        <f ca="1">IF(INDIRECT($A248)="",0,1)</f>
        <v>0</v>
      </c>
      <c r="D248" s="498">
        <f t="shared" ca="1" si="32"/>
        <v>1</v>
      </c>
    </row>
    <row r="249" spans="1:4">
      <c r="A249" s="498" t="s">
        <v>1745</v>
      </c>
      <c r="B249" s="498" t="str">
        <f ca="1">OFFSET(INDIRECT(A249),0,-2)</f>
        <v>Select TA/Contractor</v>
      </c>
      <c r="C249" s="505">
        <f ca="1">IF(INDIRECT($A249)="",0,1)</f>
        <v>0</v>
      </c>
      <c r="D249" s="498" t="str">
        <f>IF(N05S01F01&lt;&gt;"Trade Ally or Contractor (Check)","", IFERROR(IF(SEARCH("~*", B248), 1), 0))</f>
        <v/>
      </c>
    </row>
    <row r="250" spans="1:4">
      <c r="A250" s="498" t="s">
        <v>1649</v>
      </c>
      <c r="B250" s="498" t="s">
        <v>2046</v>
      </c>
      <c r="C250" s="505" t="b">
        <v>0</v>
      </c>
      <c r="D250" s="498">
        <f t="shared" si="32"/>
        <v>1</v>
      </c>
    </row>
  </sheetData>
  <sheetProtection algorithmName="SHA-512" hashValue="1URUxQVkllP9SMF/LbT15r0cbpLsGYZjDnUbgGZcpgPOq5HeaIo8oD7LYQAIi7eRz2QZBVn4TGelqT8JybTmUA==" saltValue="O6YaqBbqUMLkWlmnS8G+hA==" spinCount="100000" sheet="1" objects="1" scenarios="1"/>
  <phoneticPr fontId="135" type="noConversion"/>
  <conditionalFormatting sqref="H18:H23">
    <cfRule type="containsBlanks" dxfId="160" priority="1">
      <formula>LEN(TRIM(H18))=0</formula>
    </cfRule>
  </conditionalFormatting>
  <conditionalFormatting sqref="H9:P17">
    <cfRule type="containsBlanks" dxfId="159" priority="21">
      <formula>LEN(TRIM(H9))=0</formula>
    </cfRule>
  </conditionalFormatting>
  <conditionalFormatting sqref="I18:P22 I23:K23 H24:K26">
    <cfRule type="containsBlanks" dxfId="158" priority="23">
      <formula>LEN(TRIM(H18))=0</formula>
    </cfRule>
  </conditionalFormatting>
  <conditionalFormatting sqref="L23:P26">
    <cfRule type="containsBlanks" dxfId="157" priority="7">
      <formula>LEN(TRIM(L23))=0</formula>
    </cfRule>
  </conditionalFormatting>
  <conditionalFormatting sqref="Q9:R26">
    <cfRule type="containsBlanks" dxfId="156" priority="5">
      <formula>LEN(TRIM(Q9))=0</formula>
    </cfRule>
  </conditionalFormatting>
  <dataValidations count="1">
    <dataValidation type="list" allowBlank="1" showInputMessage="1" showErrorMessage="1" sqref="H5" xr:uid="{89C90B97-5077-4EEA-9C37-8CFBA6C20DFA}">
      <formula1>"TRUE, FALSE"</formula1>
    </dataValidation>
  </dataValidations>
  <hyperlinks>
    <hyperlink ref="G9" location="'M03-S01'!A1" display="'M03-S01'!A1" xr:uid="{68C0C627-2188-4E91-9450-93705ED04A5B}"/>
    <hyperlink ref="G10" location="'M03-S02'!A1" display="'M03-S02'!A1" xr:uid="{3A8B6208-BD30-4ADD-9AF4-EF0515687009}"/>
    <hyperlink ref="G13" location="'M03-S04'!A1" display="'M03-S04'!A1" xr:uid="{2EDCB968-0F94-4CC1-B262-288074F09A78}"/>
    <hyperlink ref="G14" location="'M03-S05'!A1" display="'M03-S05'!A1" xr:uid="{37218125-1C3E-4049-B088-7F5AAEF8A113}"/>
    <hyperlink ref="G15" location="'M03-S06'!A1" display="'M03-S06'!A1" xr:uid="{AC8528DF-3997-486F-8CAB-101273151554}"/>
    <hyperlink ref="G17" location="'N03-S04'!A1" display="'N03-S04'!A1" xr:uid="{CB35C022-B870-4BD3-B7EC-7E73E7F39E9A}"/>
    <hyperlink ref="G24" location="'N04-S09'!A1" display="'N04-S09'!A1" xr:uid="{05F8B934-8B04-45BD-BC5A-0E2849D8558A}"/>
    <hyperlink ref="G18:G22" location="'M04-S02'!A1" display="'M04-S02'!A1" xr:uid="{71CACE80-EDB8-46BA-A47B-BB1A5497901B}"/>
    <hyperlink ref="G11" location="'M03-S02'!A1" display="'M03-S02'!A1" xr:uid="{7982A8B4-DD0C-40E2-B487-C4A60FDB628B}"/>
  </hyperlinks>
  <pageMargins left="0" right="0" top="0" bottom="0" header="0" footer="0"/>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0D1F6-078B-4690-8BBB-4474A458A660}">
  <sheetPr codeName="Sheet93">
    <tabColor theme="9" tint="0.59999389629810485"/>
  </sheetPr>
  <dimension ref="A1:FQ183"/>
  <sheetViews>
    <sheetView zoomScale="85" zoomScaleNormal="85" workbookViewId="0">
      <pane xSplit="1" ySplit="1" topLeftCell="B2" activePane="bottomRight" state="frozen"/>
      <selection pane="topRight"/>
      <selection pane="bottomLeft"/>
      <selection pane="bottomRight"/>
    </sheetView>
  </sheetViews>
  <sheetFormatPr defaultRowHeight="15"/>
  <cols>
    <col min="12" max="12" width="10.7109375" customWidth="1"/>
    <col min="14" max="15" width="10.28515625" customWidth="1"/>
    <col min="19" max="19" width="11.5703125" bestFit="1" customWidth="1"/>
    <col min="22" max="22" width="10.140625" bestFit="1" customWidth="1"/>
    <col min="44" max="44" width="26.5703125" customWidth="1"/>
    <col min="45" max="45" width="32.42578125" customWidth="1"/>
    <col min="51" max="51" width="11.5703125" bestFit="1" customWidth="1"/>
    <col min="86" max="86" width="11.140625" bestFit="1" customWidth="1"/>
    <col min="99" max="99" width="13.85546875" bestFit="1" customWidth="1"/>
    <col min="118" max="118" width="13.85546875" bestFit="1" customWidth="1"/>
    <col min="122" max="122" width="9.140625" customWidth="1"/>
    <col min="126" max="126" width="8.85546875" customWidth="1"/>
    <col min="140" max="140" width="11.5703125" bestFit="1" customWidth="1"/>
    <col min="167" max="167" width="10.7109375" bestFit="1" customWidth="1"/>
    <col min="168" max="168" width="9.28515625" bestFit="1" customWidth="1"/>
    <col min="169" max="169" width="10.7109375" bestFit="1" customWidth="1"/>
    <col min="170" max="170" width="9.28515625" bestFit="1" customWidth="1"/>
    <col min="171" max="171" width="10.7109375" bestFit="1" customWidth="1"/>
    <col min="172" max="172" width="9.28515625" bestFit="1" customWidth="1"/>
  </cols>
  <sheetData>
    <row r="1" spans="1:173" ht="60" customHeight="1">
      <c r="A1" s="99" t="s">
        <v>192</v>
      </c>
      <c r="B1" s="172" t="s">
        <v>193</v>
      </c>
      <c r="C1" s="172" t="s">
        <v>981</v>
      </c>
      <c r="D1" s="173" t="s">
        <v>0</v>
      </c>
      <c r="E1" s="173" t="s">
        <v>1787</v>
      </c>
      <c r="F1" s="173" t="s">
        <v>1369</v>
      </c>
      <c r="G1" s="172" t="s">
        <v>207</v>
      </c>
      <c r="H1" s="205" t="s">
        <v>829</v>
      </c>
      <c r="I1" s="172" t="s">
        <v>12</v>
      </c>
      <c r="J1" s="201" t="s">
        <v>271</v>
      </c>
      <c r="K1" s="201" t="s">
        <v>272</v>
      </c>
      <c r="L1" s="201" t="s">
        <v>835</v>
      </c>
      <c r="M1" s="172" t="s">
        <v>249</v>
      </c>
      <c r="N1" s="391" t="s">
        <v>832</v>
      </c>
      <c r="O1" s="391" t="s">
        <v>1525</v>
      </c>
      <c r="P1" s="209" t="s">
        <v>1006</v>
      </c>
      <c r="Q1" s="209" t="s">
        <v>1005</v>
      </c>
      <c r="R1" s="205" t="s">
        <v>1361</v>
      </c>
      <c r="S1" s="205" t="s">
        <v>982</v>
      </c>
      <c r="T1" s="212" t="s">
        <v>1362</v>
      </c>
      <c r="U1" s="212" t="s">
        <v>983</v>
      </c>
      <c r="V1" s="201" t="s">
        <v>183</v>
      </c>
      <c r="W1" s="201" t="s">
        <v>989</v>
      </c>
      <c r="X1" s="201" t="s">
        <v>990</v>
      </c>
      <c r="Y1" s="201" t="s">
        <v>991</v>
      </c>
      <c r="Z1" s="172" t="s">
        <v>992</v>
      </c>
      <c r="AA1" s="391" t="s">
        <v>1789</v>
      </c>
      <c r="AB1" s="391" t="s">
        <v>1790</v>
      </c>
      <c r="AC1" s="209" t="s">
        <v>1007</v>
      </c>
      <c r="AD1" s="209" t="s">
        <v>1008</v>
      </c>
      <c r="AE1" s="205" t="s">
        <v>1363</v>
      </c>
      <c r="AF1" s="205" t="s">
        <v>984</v>
      </c>
      <c r="AG1" s="212" t="s">
        <v>1364</v>
      </c>
      <c r="AH1" s="212" t="s">
        <v>1009</v>
      </c>
      <c r="AI1" s="172" t="s">
        <v>251</v>
      </c>
      <c r="AJ1" s="205" t="s">
        <v>300</v>
      </c>
      <c r="AK1" s="205" t="s">
        <v>822</v>
      </c>
      <c r="AL1" s="205" t="s">
        <v>985</v>
      </c>
      <c r="AM1" s="205" t="s">
        <v>777</v>
      </c>
      <c r="AN1" s="205" t="s">
        <v>824</v>
      </c>
      <c r="AO1" s="172" t="s">
        <v>986</v>
      </c>
      <c r="AP1" s="173" t="s">
        <v>31</v>
      </c>
      <c r="AQ1" s="173" t="s">
        <v>32</v>
      </c>
      <c r="AR1" s="172" t="s">
        <v>987</v>
      </c>
      <c r="AS1" s="172" t="s">
        <v>988</v>
      </c>
      <c r="AT1" s="201" t="s">
        <v>993</v>
      </c>
      <c r="AU1" s="201" t="s">
        <v>198</v>
      </c>
      <c r="AV1" s="173" t="s">
        <v>733</v>
      </c>
      <c r="AW1" s="173" t="s">
        <v>25</v>
      </c>
      <c r="AX1" s="173" t="s">
        <v>1365</v>
      </c>
      <c r="AY1" s="170"/>
      <c r="AZ1" s="170"/>
      <c r="BA1" s="170"/>
      <c r="BB1" s="170"/>
      <c r="BC1" s="170"/>
      <c r="BD1" s="170"/>
      <c r="BE1" s="170"/>
      <c r="BF1" s="170"/>
      <c r="BG1" s="170"/>
      <c r="BH1" s="170"/>
      <c r="BI1" s="170"/>
      <c r="BJ1" s="170"/>
      <c r="BK1" s="170"/>
      <c r="BL1" s="172" t="s">
        <v>994</v>
      </c>
      <c r="BM1" s="173" t="s">
        <v>995</v>
      </c>
      <c r="BN1" s="172" t="s">
        <v>996</v>
      </c>
      <c r="BO1" s="175" t="s">
        <v>997</v>
      </c>
      <c r="BP1" s="175" t="s">
        <v>1060</v>
      </c>
      <c r="BQ1" s="175" t="s">
        <v>1061</v>
      </c>
      <c r="BR1" s="170"/>
      <c r="BS1" s="173" t="s">
        <v>1185</v>
      </c>
      <c r="BT1" s="174" t="s">
        <v>1184</v>
      </c>
      <c r="BU1" s="173" t="s">
        <v>1183</v>
      </c>
      <c r="BV1" s="170"/>
      <c r="BW1" s="170"/>
      <c r="BX1" s="170"/>
      <c r="BY1" s="170"/>
      <c r="BZ1" s="173" t="s">
        <v>1182</v>
      </c>
      <c r="CA1" s="173" t="s">
        <v>1161</v>
      </c>
      <c r="CB1" s="173" t="s">
        <v>1162</v>
      </c>
      <c r="CC1" s="173" t="s">
        <v>1163</v>
      </c>
      <c r="CD1" s="173" t="s">
        <v>1164</v>
      </c>
      <c r="CE1" s="173" t="s">
        <v>1165</v>
      </c>
      <c r="CF1" s="173" t="s">
        <v>1166</v>
      </c>
      <c r="CG1" s="173" t="s">
        <v>1167</v>
      </c>
      <c r="CH1" s="173" t="s">
        <v>1168</v>
      </c>
      <c r="CI1" s="173" t="s">
        <v>1169</v>
      </c>
      <c r="CJ1" s="170"/>
      <c r="CK1" s="170"/>
      <c r="CL1" s="170"/>
      <c r="CM1" s="173" t="s">
        <v>1170</v>
      </c>
      <c r="CN1" s="173" t="s">
        <v>1020</v>
      </c>
      <c r="CO1" s="173" t="s">
        <v>1171</v>
      </c>
      <c r="CP1" s="173" t="s">
        <v>1172</v>
      </c>
      <c r="CQ1" s="173" t="s">
        <v>1173</v>
      </c>
      <c r="CR1" s="173" t="s">
        <v>1174</v>
      </c>
      <c r="CS1" s="173" t="s">
        <v>1175</v>
      </c>
      <c r="CT1" s="173" t="s">
        <v>1176</v>
      </c>
      <c r="CU1" s="173" t="s">
        <v>1177</v>
      </c>
      <c r="CV1" s="173" t="s">
        <v>1178</v>
      </c>
      <c r="CW1" s="170"/>
      <c r="CX1" s="170"/>
      <c r="CY1" s="170"/>
      <c r="CZ1" s="170"/>
      <c r="DA1" s="173" t="s">
        <v>2073</v>
      </c>
      <c r="DB1" s="173" t="s">
        <v>1180</v>
      </c>
      <c r="DC1" s="173" t="s">
        <v>779</v>
      </c>
      <c r="DD1" s="173" t="s">
        <v>1179</v>
      </c>
      <c r="DE1" s="173" t="s">
        <v>1181</v>
      </c>
      <c r="DF1" s="173" t="s">
        <v>1037</v>
      </c>
      <c r="DG1" s="173" t="s">
        <v>1032</v>
      </c>
      <c r="DH1" s="173" t="s">
        <v>1186</v>
      </c>
      <c r="DI1" s="173" t="s">
        <v>1187</v>
      </c>
      <c r="DJ1" s="173" t="s">
        <v>1188</v>
      </c>
      <c r="DK1" s="173" t="s">
        <v>1189</v>
      </c>
      <c r="DL1" s="173" t="s">
        <v>1190</v>
      </c>
      <c r="DM1" s="173" t="s">
        <v>1191</v>
      </c>
      <c r="DN1" s="173" t="s">
        <v>1192</v>
      </c>
      <c r="DO1" s="173" t="s">
        <v>1193</v>
      </c>
      <c r="DP1" s="172" t="s">
        <v>998</v>
      </c>
      <c r="DQ1" s="172" t="s">
        <v>999</v>
      </c>
      <c r="DR1" s="172" t="s">
        <v>1000</v>
      </c>
      <c r="DS1" s="172" t="s">
        <v>1001</v>
      </c>
      <c r="DT1" s="172" t="s">
        <v>1002</v>
      </c>
      <c r="DU1" s="172" t="s">
        <v>1003</v>
      </c>
      <c r="DV1" s="172" t="s">
        <v>1004</v>
      </c>
      <c r="DW1" s="173" t="s">
        <v>1045</v>
      </c>
      <c r="DX1" s="172" t="s">
        <v>1046</v>
      </c>
      <c r="DY1" s="391" t="s">
        <v>1501</v>
      </c>
      <c r="DZ1" s="391" t="s">
        <v>1814</v>
      </c>
      <c r="EA1" s="170"/>
      <c r="EB1" s="172" t="s">
        <v>782</v>
      </c>
      <c r="EC1" s="172" t="s">
        <v>783</v>
      </c>
      <c r="ED1" s="172" t="s">
        <v>10</v>
      </c>
      <c r="EE1" s="172" t="s">
        <v>8</v>
      </c>
      <c r="EF1" s="172" t="s">
        <v>9</v>
      </c>
      <c r="EG1" s="172" t="s">
        <v>787</v>
      </c>
      <c r="EH1" s="172" t="s">
        <v>784</v>
      </c>
      <c r="EI1" s="172" t="s">
        <v>785</v>
      </c>
      <c r="EJ1" s="172" t="s">
        <v>786</v>
      </c>
      <c r="EK1" s="172" t="s">
        <v>53</v>
      </c>
      <c r="EL1" s="172" t="s">
        <v>173</v>
      </c>
      <c r="EM1" s="172" t="s">
        <v>788</v>
      </c>
      <c r="EN1" s="173" t="s">
        <v>794</v>
      </c>
      <c r="EO1" s="170"/>
      <c r="EP1" s="170"/>
      <c r="EQ1" s="170"/>
      <c r="ER1" s="170"/>
      <c r="ES1" s="170"/>
      <c r="ET1" s="170"/>
      <c r="EU1" s="170"/>
      <c r="EV1" s="170"/>
      <c r="EW1" s="170"/>
      <c r="EX1" s="170"/>
      <c r="EY1" s="170"/>
      <c r="EZ1" s="170"/>
      <c r="FA1" s="173" t="s">
        <v>1220</v>
      </c>
      <c r="FB1" s="170"/>
      <c r="FC1" s="173" t="s">
        <v>1222</v>
      </c>
      <c r="FD1" s="173" t="s">
        <v>1223</v>
      </c>
      <c r="FE1" s="173" t="s">
        <v>1221</v>
      </c>
      <c r="FF1" s="173" t="s">
        <v>1224</v>
      </c>
      <c r="FG1" s="173" t="s">
        <v>1225</v>
      </c>
      <c r="FH1" s="172" t="s">
        <v>1283</v>
      </c>
      <c r="FI1" s="172" t="s">
        <v>1284</v>
      </c>
      <c r="FJ1" s="170"/>
      <c r="FK1" s="391" t="s">
        <v>1815</v>
      </c>
      <c r="FL1" s="391" t="s">
        <v>1816</v>
      </c>
      <c r="FM1" s="391" t="s">
        <v>1817</v>
      </c>
      <c r="FN1" s="391" t="s">
        <v>1818</v>
      </c>
      <c r="FO1" s="391" t="s">
        <v>1819</v>
      </c>
      <c r="FP1" s="391" t="s">
        <v>1820</v>
      </c>
      <c r="FQ1" s="391" t="s">
        <v>1821</v>
      </c>
    </row>
    <row r="2" spans="1:173">
      <c r="A2" s="14">
        <f>PROJID_N</f>
        <v>0</v>
      </c>
      <c r="AY2" s="170"/>
      <c r="AZ2" s="170"/>
      <c r="BA2" s="170"/>
      <c r="BB2" s="170"/>
      <c r="BC2" s="170"/>
      <c r="BD2" s="170"/>
      <c r="BE2" s="170"/>
      <c r="BF2" s="170"/>
      <c r="BG2" s="170"/>
      <c r="BH2" s="170"/>
      <c r="BI2" s="170"/>
      <c r="BJ2" s="170"/>
      <c r="BK2" s="170"/>
      <c r="BM2">
        <f>PROJID_N</f>
        <v>0</v>
      </c>
      <c r="BN2" t="str">
        <f>VERSION</f>
        <v>v3.0.0</v>
      </c>
      <c r="BO2" t="s">
        <v>1813</v>
      </c>
      <c r="BP2" s="13" t="str">
        <f>IF(CBPROJ_N="NA","",CBPROJ_N)</f>
        <v/>
      </c>
      <c r="BQ2" s="13" t="str">
        <f>IF(PAYPROJ_N="NA","",PAYPROJ_N)</f>
        <v/>
      </c>
      <c r="BS2" s="198">
        <f>N02S01F01</f>
        <v>0</v>
      </c>
      <c r="BT2" s="198">
        <f>N02S01F02</f>
        <v>0</v>
      </c>
      <c r="BU2" s="393" t="str">
        <f>IF(N02S01F03="","",N02S01F03)</f>
        <v/>
      </c>
      <c r="BZ2">
        <f>N02S02F01</f>
        <v>0</v>
      </c>
      <c r="CA2">
        <f>N02S02F02</f>
        <v>0</v>
      </c>
      <c r="CB2">
        <f>N02S02F03</f>
        <v>0</v>
      </c>
      <c r="CC2">
        <f>N02S02F04</f>
        <v>0</v>
      </c>
      <c r="CD2">
        <f>N02S02F05</f>
        <v>0</v>
      </c>
      <c r="CE2">
        <f>N02S02F06</f>
        <v>0</v>
      </c>
      <c r="CF2">
        <f>N02S02F07</f>
        <v>0</v>
      </c>
      <c r="CG2">
        <f>N02S02F08</f>
        <v>0</v>
      </c>
      <c r="CH2" s="12">
        <f>N02S02F09</f>
        <v>0</v>
      </c>
      <c r="CI2">
        <f>N02S02F10</f>
        <v>0</v>
      </c>
      <c r="CM2" s="198">
        <f>N02S03F01</f>
        <v>0</v>
      </c>
      <c r="CN2" s="198">
        <f>N02S03F02</f>
        <v>0</v>
      </c>
      <c r="CO2" s="198">
        <f>N02S03F03</f>
        <v>0</v>
      </c>
      <c r="CP2" s="198">
        <f>N02S03F04</f>
        <v>0</v>
      </c>
      <c r="CQ2" s="198">
        <f>N02S03F05</f>
        <v>0</v>
      </c>
      <c r="CR2" s="198">
        <f>N02S03F06</f>
        <v>0</v>
      </c>
      <c r="CS2" s="198">
        <f>N02S03F07</f>
        <v>0</v>
      </c>
      <c r="CT2" s="198">
        <f>N02S03F08</f>
        <v>0</v>
      </c>
      <c r="CU2" s="12">
        <f>N02S03F09</f>
        <v>0</v>
      </c>
      <c r="CV2">
        <f>N02S03F10</f>
        <v>0</v>
      </c>
      <c r="CW2" s="171"/>
      <c r="CX2" s="171"/>
      <c r="CY2" s="171"/>
      <c r="CZ2" s="171"/>
      <c r="DA2">
        <f>N02S03F20</f>
        <v>0</v>
      </c>
      <c r="DB2" s="198">
        <f>N02S03F11</f>
        <v>0</v>
      </c>
      <c r="DC2" s="198">
        <f>N02S03F12</f>
        <v>0</v>
      </c>
      <c r="DD2" s="198">
        <f>N02S03F13</f>
        <v>0</v>
      </c>
      <c r="DE2" s="198" t="str">
        <f>N02S03F14</f>
        <v/>
      </c>
      <c r="DF2" s="198">
        <f>N02S03F15</f>
        <v>0</v>
      </c>
      <c r="DG2" s="198">
        <f>N02S03F16</f>
        <v>0</v>
      </c>
      <c r="DH2" s="198">
        <f>N02S03F17</f>
        <v>0</v>
      </c>
      <c r="DI2" s="198" t="str">
        <f>N02S03F18</f>
        <v>MO</v>
      </c>
      <c r="DJ2" s="198">
        <f>N02S03F19</f>
        <v>0</v>
      </c>
      <c r="DK2" s="198" t="str">
        <f>N02S03F21</f>
        <v/>
      </c>
      <c r="DL2" s="198" t="str">
        <f>N02S03F22</f>
        <v/>
      </c>
      <c r="DM2" s="198" t="str">
        <f>N02S03F23</f>
        <v/>
      </c>
      <c r="DN2" s="12" t="str">
        <f>N02S03F24</f>
        <v/>
      </c>
      <c r="DO2" t="str">
        <f>N02S03F25</f>
        <v/>
      </c>
      <c r="DP2" t="str">
        <f>N05S07F07</f>
        <v>New Construction</v>
      </c>
      <c r="DQ2" s="198">
        <f>N02S03F26</f>
        <v>0</v>
      </c>
      <c r="DR2">
        <f>N02S03F34</f>
        <v>0</v>
      </c>
      <c r="DS2" s="198">
        <f>N02S03F28</f>
        <v>0</v>
      </c>
      <c r="DT2" s="198">
        <f>N02S03F31</f>
        <v>0</v>
      </c>
      <c r="DU2" s="198">
        <f>N02S03F29</f>
        <v>0</v>
      </c>
      <c r="DV2" s="198">
        <f>N02S03F36</f>
        <v>0</v>
      </c>
      <c r="DW2" s="198">
        <f>N02S03F27</f>
        <v>0</v>
      </c>
      <c r="DX2" s="198">
        <f>N02S03F30</f>
        <v>0</v>
      </c>
      <c r="DY2" s="198">
        <f>N02S03F33</f>
        <v>0</v>
      </c>
      <c r="DZ2">
        <f>N02S03F32</f>
        <v>0</v>
      </c>
      <c r="EA2" s="171"/>
      <c r="EB2" s="198" t="str">
        <f>IFERROR(INDEX(PAYMENT_N[Payment Preference],MATCH(N05S01F01,PAYMENT_N[Payment to],0)),"")</f>
        <v/>
      </c>
      <c r="EC2" s="198" t="str">
        <f>IF(N05S01F02="","",CLEAN(TRIM(SUBSTITUTE(PROPER(N05S01F02),"'S","'s"))))</f>
        <v/>
      </c>
      <c r="ED2" s="198" t="str">
        <f>IF(N05S01F03="","",CLEAN(TRIM(PROPER(N05S01F03))))</f>
        <v/>
      </c>
      <c r="EE2" s="198" t="str">
        <f>IF(N05S01F04="","",CLEAN(TRIM(PROPER(N05S01F04))))</f>
        <v/>
      </c>
      <c r="EF2" s="198" t="str">
        <f>IF(N05S01F05="","",N05S01F05)</f>
        <v/>
      </c>
      <c r="EG2" s="198" t="str">
        <f>IF(N05S01F06="","",CLEAN(TRIM(N05S01F06)))</f>
        <v/>
      </c>
      <c r="EH2" s="198" t="str">
        <f>IF(N05S01F01="Site (Bill Credit)","Bill Credit",IF(N05S01F07="","",PROPER(N05S01F07)))</f>
        <v/>
      </c>
      <c r="EI2" s="198" t="str">
        <f>IF(N05S01F01="Site (Bill Credit)",N05S01F11,IF(N05S01F08="","",PROPER(N05S01F08)))</f>
        <v/>
      </c>
      <c r="EJ2" s="12" t="str">
        <f>IF(N05S01F09="","",N05S01F09)</f>
        <v/>
      </c>
      <c r="EK2" s="198" t="str">
        <f>IF(N05S01F10="","",N05S01F10)</f>
        <v/>
      </c>
      <c r="EL2" t="str">
        <f>IFERROR(INDEX(TAXENTITY[System Text],MATCH(N05S01F12,TAXENTITY[Tax Entity],0)),"")</f>
        <v/>
      </c>
      <c r="EM2" t="str">
        <f>IF(AND(N05S01F13&lt;&gt;"",N05S01F14&lt;&gt;""),N05S01F13&amp;"-"&amp;N05S01F14,"")</f>
        <v/>
      </c>
      <c r="EN2" t="b">
        <f>PayeeChckBox_N</f>
        <v>0</v>
      </c>
      <c r="EO2" s="170"/>
      <c r="EP2" s="170"/>
      <c r="EQ2" s="170"/>
      <c r="ER2" s="170"/>
      <c r="ES2" s="170"/>
      <c r="ET2" s="170"/>
      <c r="EU2" s="170"/>
      <c r="EV2" s="170"/>
      <c r="EW2" s="170"/>
      <c r="EX2" s="170"/>
      <c r="EY2" s="170"/>
      <c r="EZ2" s="170"/>
      <c r="FA2" s="226" t="str">
        <f>IF(ENGDATE_N="","",ENGDATE_N)</f>
        <v/>
      </c>
      <c r="FB2" s="170"/>
      <c r="FC2" s="226">
        <f>IF(N05S04F01="","",N05S04F01)</f>
        <v>0</v>
      </c>
      <c r="FD2" t="str">
        <f>IF(N05S04F02="Customer Signature","",N05S04F02)</f>
        <v/>
      </c>
      <c r="FE2" s="226" t="str">
        <f>IF(N05S04F03="Date","",N05S04F03)</f>
        <v/>
      </c>
      <c r="FF2" t="str">
        <f>IF(N05S05F01="Customer Signature","",N05S05F01)</f>
        <v/>
      </c>
      <c r="FG2" s="226" t="str">
        <f>IF(N05S05F02="Date","",N05S05F02)</f>
        <v/>
      </c>
      <c r="FH2" t="str">
        <f>IF(N05S07F08="","",N05S07F08)</f>
        <v/>
      </c>
      <c r="FI2" t="str">
        <f>IF(N05S07F09="","",N05S07F09)</f>
        <v/>
      </c>
      <c r="FJ2" s="171"/>
      <c r="FK2" s="393" t="str">
        <f>IF(N02S04F01="","",N02S04F01)</f>
        <v/>
      </c>
      <c r="FL2" s="393" t="str">
        <f>IF(N02S04F02="","",N02S04F02)</f>
        <v/>
      </c>
      <c r="FM2" s="393" t="str">
        <f>IF(N02S04F03="","",N02S04F03)</f>
        <v/>
      </c>
      <c r="FN2" s="393" t="str">
        <f>IF(N02S04F04="","",N02S04F04)</f>
        <v/>
      </c>
      <c r="FO2" s="393" t="str">
        <f>IF(N02S04F05="","",N02S04F05)</f>
        <v/>
      </c>
      <c r="FP2" s="393" t="str">
        <f>IF(N02S04F06="","",N02S04F06)</f>
        <v/>
      </c>
      <c r="FQ2" s="393" t="str">
        <f>IF(N02S04F07="","",N02S04F07)</f>
        <v/>
      </c>
    </row>
    <row r="3" spans="1:173">
      <c r="A3" s="381" t="s">
        <v>1784</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c r="AG3" s="382"/>
      <c r="AH3" s="382"/>
      <c r="AI3" s="382"/>
      <c r="AJ3" s="382"/>
      <c r="AK3" s="382"/>
      <c r="AL3" s="382"/>
      <c r="AM3" s="382"/>
      <c r="AN3" s="382"/>
      <c r="AO3" s="382"/>
      <c r="AP3" s="382"/>
      <c r="AQ3" s="382"/>
      <c r="AR3" s="382"/>
      <c r="AS3" s="382"/>
      <c r="AT3" s="382"/>
      <c r="AU3" s="382"/>
      <c r="AV3" s="382"/>
      <c r="AW3" s="382"/>
      <c r="AX3" s="382"/>
      <c r="AY3" s="170"/>
      <c r="AZ3" s="170"/>
      <c r="BA3" s="170"/>
      <c r="BB3" s="170"/>
      <c r="BC3" s="170"/>
      <c r="BD3" s="170"/>
      <c r="BE3" s="170"/>
      <c r="BF3" s="170"/>
      <c r="BG3" s="170"/>
      <c r="BH3" s="170"/>
      <c r="BI3" s="170"/>
      <c r="BJ3" s="170"/>
      <c r="BK3" s="170"/>
      <c r="DB3" s="198"/>
      <c r="DC3" s="198"/>
    </row>
    <row r="4" spans="1:173">
      <c r="A4" s="14">
        <f>PROJID_N</f>
        <v>0</v>
      </c>
      <c r="B4" t="str">
        <f>IF(C4="","",CONCATENATE(ROW(),"-",C4))</f>
        <v>4-32411900</v>
      </c>
      <c r="C4" t="s">
        <v>1851</v>
      </c>
      <c r="D4" t="s">
        <v>50</v>
      </c>
      <c r="E4" t="s">
        <v>38</v>
      </c>
      <c r="G4" t="s">
        <v>741</v>
      </c>
      <c r="H4" s="207"/>
      <c r="I4" s="207"/>
      <c r="J4" s="207"/>
      <c r="K4" s="207"/>
      <c r="L4" s="207"/>
      <c r="M4" s="207"/>
      <c r="N4" s="207"/>
      <c r="O4" s="207"/>
      <c r="P4">
        <f>IF(S4=0,0,IF(OR(N05S07F04="FINAL",ACTIVECOMPL_N="Yes"),0,1))</f>
        <v>0</v>
      </c>
      <c r="Q4">
        <f>IF(S4=0,0,IF(OR(N05S07F04="FINAL",ACTIVECOMPL_N="Yes"),0,1))</f>
        <v>0</v>
      </c>
      <c r="R4" s="207"/>
      <c r="S4">
        <f>KWHTOTALPROV_N</f>
        <v>0</v>
      </c>
      <c r="T4" s="207"/>
      <c r="U4">
        <f>KWTOTALPROV_N</f>
        <v>0</v>
      </c>
      <c r="V4">
        <f>INCENTOTALPROV_N</f>
        <v>0</v>
      </c>
      <c r="W4" s="207"/>
      <c r="X4" s="207"/>
      <c r="Y4" s="207"/>
      <c r="Z4" s="207"/>
      <c r="AA4" s="207"/>
      <c r="AB4" s="207"/>
      <c r="AC4" s="207"/>
      <c r="AD4" s="207"/>
      <c r="AE4" s="207"/>
      <c r="AF4" s="207"/>
      <c r="AG4" s="207"/>
      <c r="AH4" s="207"/>
      <c r="AI4" s="207"/>
      <c r="AJ4" s="207"/>
      <c r="AK4" s="207"/>
      <c r="AL4" s="207"/>
      <c r="AM4" s="207"/>
      <c r="AN4" s="207"/>
      <c r="AO4" s="207"/>
      <c r="AP4" s="207"/>
      <c r="AQ4" s="207"/>
      <c r="AT4" s="207"/>
      <c r="AU4" s="207"/>
      <c r="AV4" s="207"/>
      <c r="AW4" s="207"/>
      <c r="AX4" t="s">
        <v>820</v>
      </c>
      <c r="AY4" s="170"/>
      <c r="AZ4" s="170"/>
      <c r="BA4" s="170"/>
      <c r="BB4" s="170"/>
      <c r="BC4" s="170"/>
      <c r="BD4" s="170"/>
      <c r="BE4" s="170"/>
      <c r="BF4" s="170"/>
      <c r="BG4" s="170"/>
      <c r="BH4" s="170"/>
      <c r="BI4" s="170"/>
      <c r="BJ4" s="170"/>
      <c r="BK4" s="170"/>
    </row>
    <row r="5" spans="1:173">
      <c r="A5" s="384" t="s">
        <v>1785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170"/>
      <c r="AZ5" s="170"/>
      <c r="BA5" s="170"/>
      <c r="BB5" s="170"/>
      <c r="BC5" s="170"/>
      <c r="BD5" s="170"/>
      <c r="BE5" s="170"/>
      <c r="BF5" s="170"/>
      <c r="BG5" s="170"/>
      <c r="BH5" s="170"/>
      <c r="BI5" s="170"/>
      <c r="BJ5" s="170"/>
      <c r="BK5" s="170"/>
    </row>
    <row r="6" spans="1:173">
      <c r="A6" s="14">
        <f t="shared" ref="A6:A11" si="0">PROJID_N</f>
        <v>0</v>
      </c>
      <c r="B6" t="str">
        <f>IF(C6="","",CONCATENATE(ROW(),"-",C6))</f>
        <v/>
      </c>
      <c r="C6" t="str">
        <f>IFERROR(IF(INDEX('xN03-S03-1b'!$BM$18:$BM$199,2*(ROWS($C$6:C6)-1)+1)="","",INDEX('xN03-S03-1b'!$BM$18:$BM$199,2*(ROWS($C$6:C6)-1)+1)),"")</f>
        <v/>
      </c>
      <c r="D6" t="s">
        <v>50</v>
      </c>
      <c r="E6" t="s">
        <v>38</v>
      </c>
      <c r="F6" t="s">
        <v>741</v>
      </c>
      <c r="G6" t="str">
        <f>IFERROR(INDEX('xN03-S03-1b'!$BE$18:$BE$199,2*(ROWS(G$6:G6)-1)+1),"")</f>
        <v/>
      </c>
      <c r="H6" s="25">
        <f>IFERROR(INDEX('xN03-S03-1b'!$R$18:$R$199,2*(ROWS(H$6:H6)-1)+1),"")</f>
        <v>0</v>
      </c>
      <c r="I6" t="str">
        <f>IFERROR(INDEX('xN03-S03-1b'!$I$18:$I$199,2*(ROWS($I$6:I6)-1)+1),"")</f>
        <v/>
      </c>
      <c r="J6" s="207"/>
      <c r="K6" s="207"/>
      <c r="L6" s="13" t="str">
        <f ca="1">IFERROR(ROUND(IF($AI6&lt;&gt;"","",INDEX('xN03-S03-1b'!$AF$18:$AF$199,2*(ROWS(L$6:L6)-1)+1)),2),"")</f>
        <v/>
      </c>
      <c r="N6" s="13" t="str">
        <f ca="1">IFERROR(ROUND(IF($AI6&lt;&gt;"","",INDEX('xN03-S03-1b'!$AH$18:$AH$199,2*(ROWS(N$6:N6)-1)+1)),2),"")</f>
        <v/>
      </c>
      <c r="O6" s="13" t="str">
        <f ca="1">IFERROR(IF($AI6&lt;&gt;"","",ROUND(L6-N6,2)),"")</f>
        <v/>
      </c>
      <c r="P6" s="10" t="str">
        <f ca="1">IFERROR(IF(AI6&lt;&gt;"","",ROUND(INDEX('xN03-S03-1b'!$O$18:$O$199,2*(ROWS(P$6:P6)-1)+1)/1000,3)),"")</f>
        <v/>
      </c>
      <c r="Q6" s="10" t="str">
        <f ca="1">IFERROR(IF(AI6&lt;&gt;"","",ROUND(INDEX('xN03-S03-1b'!$O$18:$O$199,2*(ROWS(Q$6:Q6)-1)+1)/1000,3)),"")</f>
        <v/>
      </c>
      <c r="R6" s="207"/>
      <c r="S6" s="25" t="str">
        <f ca="1">IFERROR(IF(AI6&lt;&gt;"","",INDEX('xN03-S03-1b'!$AK$18:$AK$199,2*(ROWS(S$6:S6)-1)+1)),"")</f>
        <v/>
      </c>
      <c r="T6" s="207"/>
      <c r="U6" s="31" t="str">
        <f ca="1">IFERROR(IF(AI6&lt;&gt;"","",INDEX('xN03-S03-1b'!$BF$18:$BF$199,2*(ROWS(U$6:U6)-1)+1)),"")</f>
        <v/>
      </c>
      <c r="V6" s="13" t="str">
        <f ca="1">IFERROR(IF(AI6&lt;&gt;"","",INDEX('xN03-S03-1b'!$AN$18:$AN$199,2*(ROWS(V$6:V6)-1)+1)),"")</f>
        <v/>
      </c>
      <c r="W6" s="207"/>
      <c r="X6" s="207"/>
      <c r="Y6" s="13">
        <f ca="1">IFERROR(IF(AI6&lt;&gt;"",INDEX('xN03-S03-1b'!$AF$18:$AF$199,2*(ROWS(Y$6:Y6)-1)+1),""),"")</f>
        <v>0</v>
      </c>
      <c r="AA6" s="13" t="str">
        <f ca="1">IFERROR(IF($AI6&lt;&gt;"",INDEX('xN03-S03-1b'!$AH$18:$AH$199,2*(ROWS(AA$6:AA6)-1)+1),""),"")</f>
        <v/>
      </c>
      <c r="AB6" t="str">
        <f ca="1">IFERROR(IF($AI6&lt;&gt;"",ROUND(Y6-AA6,2),""),"")</f>
        <v/>
      </c>
      <c r="AC6" s="10">
        <f ca="1">IFERROR(IF($AI6&lt;&gt;"",ROUND(INDEX('xN03-S03-1b'!$O$18:$O$199,2*(ROWS(AC$6:AC6)-1)+1)/1000,3),""),"")</f>
        <v>0</v>
      </c>
      <c r="AD6" s="10">
        <f ca="1">IFERROR(IF($AI6&lt;&gt;"",ROUND(INDEX('xN03-S03-1b'!$O$18:$O$199,2*(ROWS(AD$6:AD6)-1)+1)/1000,3),""),"")</f>
        <v>0</v>
      </c>
      <c r="AE6" s="207"/>
      <c r="AF6" s="25" t="str">
        <f ca="1">IFERROR(IF(AI6&lt;&gt;"",INDEX('xN03-S03-1b'!$AK$18:$AK$199,2*(ROWS(AF$6:AF6)-1)+1),""),"")</f>
        <v/>
      </c>
      <c r="AG6" s="207"/>
      <c r="AH6" s="31" t="str">
        <f ca="1">IFERROR(IF(AI6&lt;&gt;"",INDEX('xN03-S03-1b'!$BF$18:$BF$199,2*(ROWS(AH$6:AH6)-1)+1),""),"")</f>
        <v/>
      </c>
      <c r="AI6" t="str">
        <f ca="1">IFERROR(INDEX('xN03-S03-1b'!$BO$18:$BO$199,2*(ROWS(AI$6:AI6)-1)+1),"")</f>
        <v>Enter Site City &amp; Zip (Building Tab)</v>
      </c>
      <c r="AJ6" s="25" t="str">
        <f>IFERROR(INDEX('xN03-S03-1b'!$BB$18:$BB$199,2*(ROWS(AJ$6:AJ6)-1)+1),"")</f>
        <v/>
      </c>
      <c r="AK6" s="25" t="str">
        <f>IFERROR(INDEX('xN03-S03-1b'!$BC$18:$BC$199,2*(ROWS(AK$6:AK6)-1)+1),"")</f>
        <v/>
      </c>
      <c r="AL6" s="25" t="str">
        <f>IFERROR(INDEX('xN03-S03-1b'!$V$18:$V$199,2*(ROWS(AL$6:AL6)-1)+1),"")</f>
        <v/>
      </c>
      <c r="AM6" s="25" t="str">
        <f>IFERROR(INDEX('xN03-S03-1b'!$AA$18:$AA$199,2*(ROWS(AM$6:AM6)-1)+1),"")</f>
        <v/>
      </c>
      <c r="AN6" s="207"/>
      <c r="AO6">
        <f>IFERROR(INDEX('xN03-S03-1b'!$B$18:$B$199,2*(ROWS(AO$6:AO6)-1)+1),"")</f>
        <v>1</v>
      </c>
      <c r="AP6" s="189"/>
      <c r="AQ6" s="189"/>
      <c r="AR6" s="189"/>
      <c r="AS6" t="str">
        <f>IFERROR(INDEX('xN03-S03-1b'!$C$18:$C$199,2*(ROWS(AS$6:AS6)-1)+1),"")</f>
        <v/>
      </c>
      <c r="AT6" s="13" t="str">
        <f>IFERROR(INDEX('xN03-S03-1b'!$AY$18:$AY$199,2*(ROWS(AT$6:AT6)-1)+1),"")</f>
        <v/>
      </c>
      <c r="AU6" s="13" t="str">
        <f>IFERROR(INDEX('xN03-S03-1b'!$AZ$18:$AZ$199,2*(ROWS(AU$6:AU6)-1)+1),"")</f>
        <v/>
      </c>
      <c r="AV6" t="str">
        <f>IFERROR(INDEX('xN03-S03-1b'!$BA$18:$BA$199,2*(ROWS(AV$6:AV6)-1)+1),"")</f>
        <v/>
      </c>
      <c r="AW6" t="str">
        <f>IFERROR(INDEX('xN03-S03-1b'!$BD$18:$BD$199,2*(ROWS(AW$6:AW6)-1)+1),"")</f>
        <v/>
      </c>
      <c r="AX6" t="s">
        <v>820</v>
      </c>
      <c r="AY6" s="171"/>
      <c r="AZ6" s="171"/>
      <c r="BA6" s="171"/>
      <c r="BB6" s="171"/>
      <c r="BC6" s="171"/>
      <c r="BD6" s="171"/>
      <c r="BE6" s="171"/>
      <c r="BF6" s="171"/>
      <c r="BG6" s="171"/>
      <c r="BH6" s="171"/>
      <c r="BI6" s="171"/>
    </row>
    <row r="7" spans="1:173">
      <c r="A7" s="14">
        <f t="shared" si="0"/>
        <v>0</v>
      </c>
      <c r="B7" t="str">
        <f t="shared" ref="B7:B11" si="1">IF(C7="","",CONCATENATE(ROW(),"-",C7))</f>
        <v/>
      </c>
      <c r="C7" t="str">
        <f>IFERROR(IF(INDEX('xN03-S03-1b'!$BM$18:$BM$199,2*(ROWS($C$6:C7)-1)+1)="","",INDEX('xN03-S03-1b'!$BM$18:$BM$199,2*(ROWS($C$6:C7)-1)+1)),"")</f>
        <v/>
      </c>
      <c r="D7" t="s">
        <v>50</v>
      </c>
      <c r="E7" t="s">
        <v>38</v>
      </c>
      <c r="F7" t="s">
        <v>741</v>
      </c>
      <c r="G7" t="str">
        <f>IFERROR(INDEX('xN03-S03-1b'!$BE$18:$BE$199,2*(ROWS(G$6:G7)-1)+1),"")</f>
        <v/>
      </c>
      <c r="H7" s="25">
        <f>IFERROR(INDEX('xN03-S03-1b'!$R$18:$R$199,2*(ROWS(H$6:H7)-1)+1),"")</f>
        <v>0</v>
      </c>
      <c r="I7" t="str">
        <f>IFERROR(INDEX('xN03-S03-1b'!$I$18:$I$199,2*(ROWS($I$6:I7)-1)+1),"")</f>
        <v/>
      </c>
      <c r="J7" s="207"/>
      <c r="K7" s="207"/>
      <c r="L7" s="13" t="str">
        <f ca="1">IFERROR(ROUND(IF($AI7&lt;&gt;"","",INDEX('xN03-S03-1b'!$AF$18:$AF$199,2*(ROWS(L$6:L7)-1)+1)),2),"")</f>
        <v/>
      </c>
      <c r="N7" s="13" t="str">
        <f ca="1">IFERROR(ROUND(IF($AI7&lt;&gt;"","",INDEX('xN03-S03-1b'!$AH$18:$AH$199,2*(ROWS(N$6:N7)-1)+1)),2),"")</f>
        <v/>
      </c>
      <c r="O7" s="13" t="str">
        <f t="shared" ref="O7:O11" ca="1" si="2">IFERROR(IF($AH7&lt;&gt;"","",ROUND(L7-N7,2)),"")</f>
        <v/>
      </c>
      <c r="P7" s="10" t="str">
        <f ca="1">IFERROR(IF(AI7&lt;&gt;"","",ROUND(INDEX('xN03-S03-1b'!$O$18:$O$199,2*(ROWS(P$6:P7)-1)+1)/1000,3)),"")</f>
        <v/>
      </c>
      <c r="Q7" s="10" t="str">
        <f ca="1">IFERROR(IF(AI7&lt;&gt;"","",ROUND(INDEX('xN03-S03-1b'!$O$18:$O$199,2*(ROWS(Q$6:Q7)-1)+1)/1000,3)),"")</f>
        <v/>
      </c>
      <c r="R7" s="207"/>
      <c r="S7" s="25" t="str">
        <f ca="1">IFERROR(IF(AI7&lt;&gt;"","",INDEX('xN03-S03-1b'!$AK$18:$AK$199,2*(ROWS(S$6:S7)-1)+1)),"")</f>
        <v/>
      </c>
      <c r="T7" s="207"/>
      <c r="U7" s="31" t="str">
        <f ca="1">IFERROR(IF(AI7&lt;&gt;"","",INDEX('xN03-S03-1b'!$BF$18:$BF$199,2*(ROWS(U$6:U7)-1)+1)),"")</f>
        <v/>
      </c>
      <c r="V7" s="13" t="str">
        <f ca="1">IFERROR(IF(AI7&lt;&gt;"","",INDEX('xN03-S03-1b'!$AN$18:$AN$199,2*(ROWS(V$6:V7)-1)+1)),"")</f>
        <v/>
      </c>
      <c r="W7" s="207"/>
      <c r="X7" s="207"/>
      <c r="Y7" s="13">
        <f ca="1">IFERROR(IF(AI7&lt;&gt;"",INDEX('xN03-S03-1b'!$AF$18:$AF$199,2*(ROWS(Y$6:Y7)-1)+1),""),"")</f>
        <v>0</v>
      </c>
      <c r="AA7" s="13" t="str">
        <f ca="1">IFERROR(IF($AI7&lt;&gt;"",INDEX('xN03-S03-1b'!$AH$18:$AH$199,2*(ROWS(AA$6:AA7)-1)+1),""),"")</f>
        <v/>
      </c>
      <c r="AB7" t="str">
        <f t="shared" ref="AB7:AB11" ca="1" si="3">IFERROR(IF($AI7&lt;&gt;"",ROUND(Y7-AA7,2),""),"")</f>
        <v/>
      </c>
      <c r="AC7" s="10">
        <f ca="1">IFERROR(IF($AI7&lt;&gt;"",ROUND(INDEX('xN03-S03-1b'!$O$18:$O$199,2*(ROWS(AC$6:AC7)-1)+1)/1000,3),""),"")</f>
        <v>0</v>
      </c>
      <c r="AD7" s="10">
        <f ca="1">IFERROR(IF($AI7&lt;&gt;"",ROUND(INDEX('xN03-S03-1b'!$O$18:$O$199,2*(ROWS(AD$6:AD7)-1)+1)/1000,3),""),"")</f>
        <v>0</v>
      </c>
      <c r="AE7" s="207"/>
      <c r="AF7" s="25" t="str">
        <f ca="1">IFERROR(IF(AI7&lt;&gt;"",INDEX('xN03-S03-1b'!$AK$18:$AK$199,2*(ROWS(AF$6:AF7)-1)+1),""),"")</f>
        <v/>
      </c>
      <c r="AG7" s="207"/>
      <c r="AH7" s="31" t="str">
        <f ca="1">IFERROR(IF(AI7&lt;&gt;"",INDEX('xN03-S03-1b'!$BF$18:$BF$199,2*(ROWS(AH$6:AH7)-1)+1),""),"")</f>
        <v/>
      </c>
      <c r="AI7" t="str">
        <f ca="1">IFERROR(INDEX('xN03-S03-1b'!$BO$18:$BO$199,2*(ROWS(AI$6:AI7)-1)+1),"")</f>
        <v>Enter Site City &amp; Zip (Building Tab)</v>
      </c>
      <c r="AJ7" s="25" t="str">
        <f>IFERROR(INDEX('xN03-S03-1b'!$BB$18:$BB$199,2*(ROWS(AJ$6:AJ7)-1)+1),"")</f>
        <v/>
      </c>
      <c r="AK7" s="25" t="str">
        <f>IFERROR(INDEX('xN03-S03-1b'!$BC$18:$BC$199,2*(ROWS(AK$6:AK7)-1)+1),"")</f>
        <v/>
      </c>
      <c r="AL7" s="25" t="str">
        <f>IFERROR(INDEX('xN03-S03-1b'!$V$18:$V$199,2*(ROWS(AL$6:AL7)-1)+1),"")</f>
        <v/>
      </c>
      <c r="AM7" s="25" t="str">
        <f>IFERROR(INDEX('xN03-S03-1b'!$AA$18:$AA$199,2*(ROWS(AM$6:AM7)-1)+1),"")</f>
        <v/>
      </c>
      <c r="AN7" s="207"/>
      <c r="AO7">
        <f>IFERROR(INDEX('xN03-S03-1b'!$B$18:$B$199,2*(ROWS(AO$6:AO7)-1)+1),"")</f>
        <v>2</v>
      </c>
      <c r="AP7" s="189"/>
      <c r="AQ7" s="189"/>
      <c r="AR7" s="189"/>
      <c r="AS7" t="str">
        <f>IFERROR(INDEX('xN03-S03-1b'!$C$18:$C$199,2*(ROWS(AS$6:AS7)-1)+1),"")</f>
        <v/>
      </c>
      <c r="AT7" s="13" t="str">
        <f>IFERROR(INDEX('xN03-S03-1b'!$AY$18:$AY$199,2*(ROWS(AT$6:AT7)-1)+1),"")</f>
        <v/>
      </c>
      <c r="AU7" s="13" t="str">
        <f>IFERROR(INDEX('xN03-S03-1b'!$AZ$18:$AZ$199,2*(ROWS(AU$6:AU7)-1)+1),"")</f>
        <v/>
      </c>
      <c r="AV7" t="str">
        <f>IFERROR(INDEX('xN03-S03-1b'!$BA$18:$BA$199,2*(ROWS(AV$6:AV7)-1)+1),"")</f>
        <v/>
      </c>
      <c r="AW7" t="str">
        <f>IFERROR(INDEX('xN03-S03-1b'!$BD$18:$BD$199,2*(ROWS(AW$6:AW7)-1)+1),"")</f>
        <v/>
      </c>
      <c r="AX7" t="s">
        <v>820</v>
      </c>
      <c r="AY7" s="170"/>
      <c r="AZ7" s="170"/>
      <c r="BA7" s="170"/>
      <c r="BB7" s="170"/>
      <c r="BC7" s="170"/>
      <c r="BD7" s="170"/>
      <c r="BE7" s="170"/>
      <c r="BF7" s="170"/>
      <c r="BG7" s="170"/>
      <c r="BH7" s="170"/>
      <c r="BI7" s="170"/>
      <c r="BJ7" s="170"/>
      <c r="BK7" s="170"/>
    </row>
    <row r="8" spans="1:173">
      <c r="A8" s="14">
        <f t="shared" si="0"/>
        <v>0</v>
      </c>
      <c r="B8" t="str">
        <f t="shared" si="1"/>
        <v/>
      </c>
      <c r="C8" t="str">
        <f>IFERROR(IF(INDEX('xN03-S03-1b'!$BM$18:$BM$199,2*(ROWS($C$6:C8)-1)+1)="","",INDEX('xN03-S03-1b'!$BM$18:$BM$199,2*(ROWS($C$6:C8)-1)+1)),"")</f>
        <v/>
      </c>
      <c r="D8" t="s">
        <v>50</v>
      </c>
      <c r="E8" t="s">
        <v>38</v>
      </c>
      <c r="F8" t="s">
        <v>741</v>
      </c>
      <c r="G8" t="str">
        <f>IFERROR(INDEX('xN03-S03-1b'!$BE$18:$BE$199,2*(ROWS(G$6:G8)-1)+1),"")</f>
        <v/>
      </c>
      <c r="H8" s="25">
        <f>IFERROR(INDEX('xN03-S03-1b'!$R$18:$R$199,2*(ROWS(H$6:H8)-1)+1),"")</f>
        <v>0</v>
      </c>
      <c r="I8" t="str">
        <f>IFERROR(INDEX('xN03-S03-1b'!$I$18:$I$199,2*(ROWS($I$6:I8)-1)+1),"")</f>
        <v/>
      </c>
      <c r="J8" s="207"/>
      <c r="K8" s="207"/>
      <c r="L8" s="13" t="str">
        <f ca="1">IFERROR(ROUND(IF($AI8&lt;&gt;"","",INDEX('xN03-S03-1b'!$AF$18:$AF$199,2*(ROWS(L$6:L8)-1)+1)),2),"")</f>
        <v/>
      </c>
      <c r="N8" s="13" t="str">
        <f ca="1">IFERROR(ROUND(IF($AI8&lt;&gt;"","",INDEX('xN03-S03-1b'!$AH$18:$AH$199,2*(ROWS(N$6:N8)-1)+1)),2),"")</f>
        <v/>
      </c>
      <c r="O8" s="13" t="str">
        <f t="shared" ca="1" si="2"/>
        <v/>
      </c>
      <c r="P8" s="10" t="str">
        <f ca="1">IFERROR(IF(AI8&lt;&gt;"","",ROUND(INDEX('xN03-S03-1b'!$O$18:$O$199,2*(ROWS(P$6:P8)-1)+1)/1000,3)),"")</f>
        <v/>
      </c>
      <c r="Q8" s="10" t="str">
        <f ca="1">IFERROR(IF(AI8&lt;&gt;"","",ROUND(INDEX('xN03-S03-1b'!$O$18:$O$199,2*(ROWS(Q$6:Q8)-1)+1)/1000,3)),"")</f>
        <v/>
      </c>
      <c r="R8" s="207"/>
      <c r="S8" s="25" t="str">
        <f ca="1">IFERROR(IF(AI8&lt;&gt;"","",INDEX('xN03-S03-1b'!$AK$18:$AK$199,2*(ROWS(S$6:S8)-1)+1)),"")</f>
        <v/>
      </c>
      <c r="T8" s="207"/>
      <c r="U8" s="31" t="str">
        <f ca="1">IFERROR(IF(AI8&lt;&gt;"","",INDEX('xN03-S03-1b'!$BF$18:$BF$199,2*(ROWS(U$6:U8)-1)+1)),"")</f>
        <v/>
      </c>
      <c r="V8" s="13" t="str">
        <f ca="1">IFERROR(IF(AI8&lt;&gt;"","",INDEX('xN03-S03-1b'!$AN$18:$AN$199,2*(ROWS(V$6:V8)-1)+1)),"")</f>
        <v/>
      </c>
      <c r="W8" s="207"/>
      <c r="X8" s="207"/>
      <c r="Y8" s="13">
        <f ca="1">IFERROR(IF(AI8&lt;&gt;"",INDEX('xN03-S03-1b'!$AF$18:$AF$199,2*(ROWS(Y$6:Y8)-1)+1),""),"")</f>
        <v>0</v>
      </c>
      <c r="AA8" s="13" t="str">
        <f ca="1">IFERROR(IF($AI8&lt;&gt;"",INDEX('xN03-S03-1b'!$AH$18:$AH$199,2*(ROWS(AA$6:AA8)-1)+1),""),"")</f>
        <v/>
      </c>
      <c r="AB8" t="str">
        <f t="shared" ca="1" si="3"/>
        <v/>
      </c>
      <c r="AC8" s="10">
        <f ca="1">IFERROR(IF($AI8&lt;&gt;"",ROUND(INDEX('xN03-S03-1b'!$O$18:$O$199,2*(ROWS(AC$6:AC8)-1)+1)/1000,3),""),"")</f>
        <v>0</v>
      </c>
      <c r="AD8" s="10">
        <f ca="1">IFERROR(IF($AI8&lt;&gt;"",ROUND(INDEX('xN03-S03-1b'!$O$18:$O$199,2*(ROWS(AD$6:AD8)-1)+1)/1000,3),""),"")</f>
        <v>0</v>
      </c>
      <c r="AE8" s="207"/>
      <c r="AF8" s="25" t="str">
        <f ca="1">IFERROR(IF(AI8&lt;&gt;"",INDEX('xN03-S03-1b'!$AK$18:$AK$199,2*(ROWS(AF$6:AF8)-1)+1),""),"")</f>
        <v/>
      </c>
      <c r="AG8" s="207"/>
      <c r="AH8" s="31" t="str">
        <f ca="1">IFERROR(IF(AI8&lt;&gt;"",INDEX('xN03-S03-1b'!$BF$18:$BF$199,2*(ROWS(AH$6:AH8)-1)+1),""),"")</f>
        <v/>
      </c>
      <c r="AI8" t="str">
        <f ca="1">IFERROR(INDEX('xN03-S03-1b'!$BO$18:$BO$199,2*(ROWS(AI$6:AI8)-1)+1),"")</f>
        <v>Enter Site City &amp; Zip (Building Tab)</v>
      </c>
      <c r="AJ8" s="25" t="str">
        <f>IFERROR(INDEX('xN03-S03-1b'!$BB$18:$BB$199,2*(ROWS(AJ$6:AJ8)-1)+1),"")</f>
        <v/>
      </c>
      <c r="AK8" s="25" t="str">
        <f>IFERROR(INDEX('xN03-S03-1b'!$BC$18:$BC$199,2*(ROWS(AK$6:AK8)-1)+1),"")</f>
        <v/>
      </c>
      <c r="AL8" s="25" t="str">
        <f>IFERROR(INDEX('xN03-S03-1b'!$V$18:$V$199,2*(ROWS(AL$6:AL8)-1)+1),"")</f>
        <v/>
      </c>
      <c r="AM8" s="25" t="str">
        <f>IFERROR(INDEX('xN03-S03-1b'!$AA$18:$AA$199,2*(ROWS(AM$6:AM8)-1)+1),"")</f>
        <v/>
      </c>
      <c r="AN8" s="207"/>
      <c r="AO8">
        <f>IFERROR(INDEX('xN03-S03-1b'!$B$18:$B$199,2*(ROWS(AO$6:AO8)-1)+1),"")</f>
        <v>3</v>
      </c>
      <c r="AP8" s="189"/>
      <c r="AQ8" s="189"/>
      <c r="AR8" s="189"/>
      <c r="AS8" t="str">
        <f>IFERROR(INDEX('xN03-S03-1b'!$C$18:$C$199,2*(ROWS(AS$6:AS8)-1)+1),"")</f>
        <v/>
      </c>
      <c r="AT8" s="13" t="str">
        <f>IFERROR(INDEX('xN03-S03-1b'!$AY$18:$AY$199,2*(ROWS(AT$6:AT8)-1)+1),"")</f>
        <v/>
      </c>
      <c r="AU8" s="13" t="str">
        <f>IFERROR(INDEX('xN03-S03-1b'!$AZ$18:$AZ$199,2*(ROWS(AU$6:AU8)-1)+1),"")</f>
        <v/>
      </c>
      <c r="AV8" t="str">
        <f>IFERROR(INDEX('xN03-S03-1b'!$BA$18:$BA$199,2*(ROWS(AV$6:AV8)-1)+1),"")</f>
        <v/>
      </c>
      <c r="AW8" t="str">
        <f>IFERROR(INDEX('xN03-S03-1b'!$BD$18:$BD$199,2*(ROWS(AW$6:AW8)-1)+1),"")</f>
        <v/>
      </c>
      <c r="AX8" t="s">
        <v>820</v>
      </c>
      <c r="AY8" s="170"/>
      <c r="AZ8" s="170"/>
      <c r="BA8" s="170"/>
      <c r="BB8" s="170"/>
      <c r="BC8" s="170"/>
      <c r="BD8" s="170"/>
      <c r="BE8" s="170"/>
      <c r="BF8" s="170"/>
      <c r="BG8" s="170"/>
      <c r="BH8" s="170"/>
      <c r="BI8" s="170"/>
      <c r="BJ8" s="170"/>
      <c r="BK8" s="170"/>
    </row>
    <row r="9" spans="1:173">
      <c r="A9" s="14">
        <f t="shared" si="0"/>
        <v>0</v>
      </c>
      <c r="B9" t="str">
        <f t="shared" si="1"/>
        <v/>
      </c>
      <c r="C9" t="str">
        <f>IFERROR(IF(INDEX('xN03-S03-1b'!$BM$18:$BM$199,2*(ROWS($C$6:C9)-1)+1)="","",INDEX('xN03-S03-1b'!$BM$18:$BM$199,2*(ROWS($C$6:C9)-1)+1)),"")</f>
        <v/>
      </c>
      <c r="D9" t="s">
        <v>50</v>
      </c>
      <c r="E9" t="s">
        <v>38</v>
      </c>
      <c r="F9" t="s">
        <v>741</v>
      </c>
      <c r="G9" t="str">
        <f>IFERROR(INDEX('xN03-S03-1b'!$BE$18:$BE$199,2*(ROWS(G$6:G9)-1)+1),"")</f>
        <v/>
      </c>
      <c r="H9" s="25">
        <f>IFERROR(INDEX('xN03-S03-1b'!$R$18:$R$199,2*(ROWS(H$6:H9)-1)+1),"")</f>
        <v>0</v>
      </c>
      <c r="I9" t="str">
        <f>IFERROR(INDEX('xN03-S03-1b'!$I$18:$I$199,2*(ROWS($I$6:I9)-1)+1),"")</f>
        <v/>
      </c>
      <c r="J9" s="207"/>
      <c r="K9" s="207"/>
      <c r="L9" s="13" t="str">
        <f ca="1">IFERROR(ROUND(IF($AI9&lt;&gt;"","",INDEX('xN03-S03-1b'!$AF$18:$AF$199,2*(ROWS(L$6:L9)-1)+1)),2),"")</f>
        <v/>
      </c>
      <c r="N9" s="13" t="str">
        <f ca="1">IFERROR(ROUND(IF($AI9&lt;&gt;"","",INDEX('xN03-S03-1b'!$AH$18:$AH$199,2*(ROWS(N$6:N9)-1)+1)),2),"")</f>
        <v/>
      </c>
      <c r="O9" s="13" t="str">
        <f t="shared" ca="1" si="2"/>
        <v/>
      </c>
      <c r="P9" s="10" t="str">
        <f ca="1">IFERROR(IF(AI9&lt;&gt;"","",ROUND(INDEX('xN03-S03-1b'!$O$18:$O$199,2*(ROWS(P$6:P9)-1)+1)/1000,3)),"")</f>
        <v/>
      </c>
      <c r="Q9" s="10" t="str">
        <f ca="1">IFERROR(IF(AI9&lt;&gt;"","",ROUND(INDEX('xN03-S03-1b'!$O$18:$O$199,2*(ROWS(Q$6:Q9)-1)+1)/1000,3)),"")</f>
        <v/>
      </c>
      <c r="R9" s="207"/>
      <c r="S9" s="25" t="str">
        <f ca="1">IFERROR(IF(AI9&lt;&gt;"","",INDEX('xN03-S03-1b'!$AK$18:$AK$199,2*(ROWS(S$6:S9)-1)+1)),"")</f>
        <v/>
      </c>
      <c r="T9" s="207"/>
      <c r="U9" s="31" t="str">
        <f ca="1">IFERROR(IF(AI9&lt;&gt;"","",INDEX('xN03-S03-1b'!$BF$18:$BF$199,2*(ROWS(U$6:U9)-1)+1)),"")</f>
        <v/>
      </c>
      <c r="V9" s="13" t="str">
        <f ca="1">IFERROR(IF(AI9&lt;&gt;"","",INDEX('xN03-S03-1b'!$AN$18:$AN$199,2*(ROWS(V$6:V9)-1)+1)),"")</f>
        <v/>
      </c>
      <c r="W9" s="207"/>
      <c r="X9" s="207"/>
      <c r="Y9" s="13">
        <f ca="1">IFERROR(IF(AI9&lt;&gt;"",INDEX('xN03-S03-1b'!$AF$18:$AF$199,2*(ROWS(Y$6:Y9)-1)+1),""),"")</f>
        <v>0</v>
      </c>
      <c r="AA9" s="13" t="str">
        <f ca="1">IFERROR(IF($AI9&lt;&gt;"",INDEX('xN03-S03-1b'!$AH$18:$AH$199,2*(ROWS(AA$6:AA9)-1)+1),""),"")</f>
        <v/>
      </c>
      <c r="AB9" t="str">
        <f t="shared" ca="1" si="3"/>
        <v/>
      </c>
      <c r="AC9" s="10">
        <f ca="1">IFERROR(IF($AI9&lt;&gt;"",ROUND(INDEX('xN03-S03-1b'!$O$18:$O$199,2*(ROWS(AC$6:AC9)-1)+1)/1000,3),""),"")</f>
        <v>0</v>
      </c>
      <c r="AD9" s="10">
        <f ca="1">IFERROR(IF($AI9&lt;&gt;"",ROUND(INDEX('xN03-S03-1b'!$O$18:$O$199,2*(ROWS(AD$6:AD9)-1)+1)/1000,3),""),"")</f>
        <v>0</v>
      </c>
      <c r="AE9" s="207"/>
      <c r="AF9" s="25" t="str">
        <f ca="1">IFERROR(IF(AI9&lt;&gt;"",INDEX('xN03-S03-1b'!$AK$18:$AK$199,2*(ROWS(AF$6:AF9)-1)+1),""),"")</f>
        <v/>
      </c>
      <c r="AG9" s="207"/>
      <c r="AH9" s="31" t="str">
        <f ca="1">IFERROR(IF(AI9&lt;&gt;"",INDEX('xN03-S03-1b'!$BF$18:$BF$199,2*(ROWS(AH$6:AH9)-1)+1),""),"")</f>
        <v/>
      </c>
      <c r="AI9" t="str">
        <f ca="1">IFERROR(INDEX('xN03-S03-1b'!$BO$18:$BO$199,2*(ROWS(AI$6:AI9)-1)+1),"")</f>
        <v>Enter Site City &amp; Zip (Building Tab)</v>
      </c>
      <c r="AJ9" s="25" t="str">
        <f>IFERROR(INDEX('xN03-S03-1b'!$BB$18:$BB$199,2*(ROWS(AJ$6:AJ9)-1)+1),"")</f>
        <v/>
      </c>
      <c r="AK9" s="25" t="str">
        <f>IFERROR(INDEX('xN03-S03-1b'!$BC$18:$BC$199,2*(ROWS(AK$6:AK9)-1)+1),"")</f>
        <v/>
      </c>
      <c r="AL9" s="25" t="str">
        <f>IFERROR(INDEX('xN03-S03-1b'!$V$18:$V$199,2*(ROWS(AL$6:AL9)-1)+1),"")</f>
        <v/>
      </c>
      <c r="AM9" s="25" t="str">
        <f>IFERROR(INDEX('xN03-S03-1b'!$AA$18:$AA$199,2*(ROWS(AM$6:AM9)-1)+1),"")</f>
        <v/>
      </c>
      <c r="AN9" s="207"/>
      <c r="AO9">
        <f>IFERROR(INDEX('xN03-S03-1b'!$B$18:$B$199,2*(ROWS(AO$6:AO9)-1)+1),"")</f>
        <v>4</v>
      </c>
      <c r="AP9" s="189"/>
      <c r="AQ9" s="189"/>
      <c r="AR9" s="189"/>
      <c r="AS9" t="str">
        <f>IFERROR(INDEX('xN03-S03-1b'!$C$18:$C$199,2*(ROWS(AS$6:AS9)-1)+1),"")</f>
        <v/>
      </c>
      <c r="AT9" s="13" t="str">
        <f>IFERROR(INDEX('xN03-S03-1b'!$AY$18:$AY$199,2*(ROWS(AT$6:AT9)-1)+1),"")</f>
        <v/>
      </c>
      <c r="AU9" s="13" t="str">
        <f>IFERROR(INDEX('xN03-S03-1b'!$AZ$18:$AZ$199,2*(ROWS(AU$6:AU9)-1)+1),"")</f>
        <v/>
      </c>
      <c r="AV9" t="str">
        <f>IFERROR(INDEX('xN03-S03-1b'!$BA$18:$BA$199,2*(ROWS(AV$6:AV9)-1)+1),"")</f>
        <v/>
      </c>
      <c r="AW9" t="str">
        <f>IFERROR(INDEX('xN03-S03-1b'!$BD$18:$BD$199,2*(ROWS(AW$6:AW9)-1)+1),"")</f>
        <v/>
      </c>
      <c r="AX9" t="s">
        <v>820</v>
      </c>
      <c r="AY9" s="170"/>
      <c r="AZ9" s="170"/>
      <c r="BA9" s="170"/>
      <c r="BB9" s="170"/>
      <c r="BC9" s="170"/>
      <c r="BD9" s="170"/>
      <c r="BE9" s="170"/>
      <c r="BF9" s="170"/>
      <c r="BG9" s="170"/>
      <c r="BH9" s="170"/>
      <c r="BI9" s="170"/>
      <c r="BJ9" s="170"/>
      <c r="BK9" s="170"/>
    </row>
    <row r="10" spans="1:173">
      <c r="A10" s="14">
        <f t="shared" si="0"/>
        <v>0</v>
      </c>
      <c r="B10" t="str">
        <f t="shared" si="1"/>
        <v/>
      </c>
      <c r="C10" t="str">
        <f>IFERROR(IF(INDEX('xN03-S03-1b'!$BM$18:$BM$199,2*(ROWS($C$6:C10)-1)+1)="","",INDEX('xN03-S03-1b'!$BM$18:$BM$199,2*(ROWS($C$6:C10)-1)+1)),"")</f>
        <v/>
      </c>
      <c r="D10" t="s">
        <v>50</v>
      </c>
      <c r="E10" t="s">
        <v>38</v>
      </c>
      <c r="F10" t="s">
        <v>741</v>
      </c>
      <c r="G10" t="str">
        <f>IFERROR(INDEX('xN03-S03-1b'!$BE$18:$BE$199,2*(ROWS(G$6:G10)-1)+1),"")</f>
        <v/>
      </c>
      <c r="H10" s="25">
        <f>IFERROR(INDEX('xN03-S03-1b'!$R$18:$R$199,2*(ROWS(H$6:H10)-1)+1),"")</f>
        <v>0</v>
      </c>
      <c r="I10" t="str">
        <f>IFERROR(INDEX('xN03-S03-1b'!$I$18:$I$199,2*(ROWS($I$6:I10)-1)+1),"")</f>
        <v/>
      </c>
      <c r="J10" s="207"/>
      <c r="K10" s="207"/>
      <c r="L10" s="13" t="str">
        <f ca="1">IFERROR(ROUND(IF($AI10&lt;&gt;"","",INDEX('xN03-S03-1b'!$AF$18:$AF$199,2*(ROWS(L$6:L10)-1)+1)),2),"")</f>
        <v/>
      </c>
      <c r="N10" s="13" t="str">
        <f ca="1">IFERROR(ROUND(IF($AI10&lt;&gt;"","",INDEX('xN03-S03-1b'!$AH$18:$AH$199,2*(ROWS(N$6:N10)-1)+1)),2),"")</f>
        <v/>
      </c>
      <c r="O10" s="13" t="str">
        <f t="shared" ca="1" si="2"/>
        <v/>
      </c>
      <c r="P10" s="10" t="str">
        <f ca="1">IFERROR(IF(AI10&lt;&gt;"","",ROUND(INDEX('xN03-S03-1b'!$O$18:$O$199,2*(ROWS(P$6:P10)-1)+1)/1000,3)),"")</f>
        <v/>
      </c>
      <c r="Q10" s="10" t="str">
        <f ca="1">IFERROR(IF(AI10&lt;&gt;"","",ROUND(INDEX('xN03-S03-1b'!$O$18:$O$199,2*(ROWS(Q$6:Q10)-1)+1)/1000,3)),"")</f>
        <v/>
      </c>
      <c r="R10" s="207"/>
      <c r="S10" s="25" t="str">
        <f ca="1">IFERROR(IF(AI10&lt;&gt;"","",INDEX('xN03-S03-1b'!$AK$18:$AK$199,2*(ROWS(S$6:S10)-1)+1)),"")</f>
        <v/>
      </c>
      <c r="T10" s="207"/>
      <c r="U10" s="31" t="str">
        <f ca="1">IFERROR(IF(AI10&lt;&gt;"","",INDEX('xN03-S03-1b'!$BF$18:$BF$199,2*(ROWS(U$6:U10)-1)+1)),"")</f>
        <v/>
      </c>
      <c r="V10" s="13" t="str">
        <f ca="1">IFERROR(IF(AI10&lt;&gt;"","",INDEX('xN03-S03-1b'!$AN$18:$AN$199,2*(ROWS(V$6:V10)-1)+1)),"")</f>
        <v/>
      </c>
      <c r="W10" s="207"/>
      <c r="X10" s="207"/>
      <c r="Y10" s="13">
        <f ca="1">IFERROR(IF(AI10&lt;&gt;"",INDEX('xN03-S03-1b'!$AF$18:$AF$199,2*(ROWS(Y$6:Y10)-1)+1),""),"")</f>
        <v>0</v>
      </c>
      <c r="AA10" s="13" t="str">
        <f ca="1">IFERROR(IF($AI10&lt;&gt;"",INDEX('xN03-S03-1b'!$AH$18:$AH$199,2*(ROWS(AA$6:AA10)-1)+1),""),"")</f>
        <v/>
      </c>
      <c r="AB10" t="str">
        <f t="shared" ca="1" si="3"/>
        <v/>
      </c>
      <c r="AC10" s="10">
        <f ca="1">IFERROR(IF($AI10&lt;&gt;"",ROUND(INDEX('xN03-S03-1b'!$O$18:$O$199,2*(ROWS(AC$6:AC10)-1)+1)/1000,3),""),"")</f>
        <v>0</v>
      </c>
      <c r="AD10" s="10">
        <f ca="1">IFERROR(IF($AI10&lt;&gt;"",ROUND(INDEX('xN03-S03-1b'!$O$18:$O$199,2*(ROWS(AD$6:AD10)-1)+1)/1000,3),""),"")</f>
        <v>0</v>
      </c>
      <c r="AE10" s="207"/>
      <c r="AF10" s="25" t="str">
        <f ca="1">IFERROR(IF(AI10&lt;&gt;"",INDEX('xN03-S03-1b'!$AK$18:$AK$199,2*(ROWS(AF$6:AF10)-1)+1),""),"")</f>
        <v/>
      </c>
      <c r="AG10" s="207"/>
      <c r="AH10" s="31" t="str">
        <f ca="1">IFERROR(IF(AI10&lt;&gt;"",INDEX('xN03-S03-1b'!$BF$18:$BF$199,2*(ROWS(AH$6:AH10)-1)+1),""),"")</f>
        <v/>
      </c>
      <c r="AI10" t="str">
        <f ca="1">IFERROR(INDEX('xN03-S03-1b'!$BO$18:$BO$199,2*(ROWS(AI$6:AI10)-1)+1),"")</f>
        <v>Enter Site City &amp; Zip (Building Tab)</v>
      </c>
      <c r="AJ10" s="25" t="str">
        <f>IFERROR(INDEX('xN03-S03-1b'!$BB$18:$BB$199,2*(ROWS(AJ$6:AJ10)-1)+1),"")</f>
        <v/>
      </c>
      <c r="AK10" s="25" t="str">
        <f>IFERROR(INDEX('xN03-S03-1b'!$BC$18:$BC$199,2*(ROWS(AK$6:AK10)-1)+1),"")</f>
        <v/>
      </c>
      <c r="AL10" s="25" t="str">
        <f>IFERROR(INDEX('xN03-S03-1b'!$V$18:$V$199,2*(ROWS(AL$6:AL10)-1)+1),"")</f>
        <v/>
      </c>
      <c r="AM10" s="25" t="str">
        <f>IFERROR(INDEX('xN03-S03-1b'!$AA$18:$AA$199,2*(ROWS(AM$6:AM10)-1)+1),"")</f>
        <v/>
      </c>
      <c r="AN10" s="207"/>
      <c r="AO10">
        <f>IFERROR(INDEX('xN03-S03-1b'!$B$18:$B$199,2*(ROWS(AO$6:AO10)-1)+1),"")</f>
        <v>5</v>
      </c>
      <c r="AP10" s="189"/>
      <c r="AQ10" s="189"/>
      <c r="AR10" s="189"/>
      <c r="AS10" t="str">
        <f>IFERROR(INDEX('xN03-S03-1b'!$C$18:$C$199,2*(ROWS(AS$6:AS10)-1)+1),"")</f>
        <v/>
      </c>
      <c r="AT10" s="13" t="str">
        <f>IFERROR(INDEX('xN03-S03-1b'!$AY$18:$AY$199,2*(ROWS(AT$6:AT10)-1)+1),"")</f>
        <v/>
      </c>
      <c r="AU10" s="13" t="str">
        <f>IFERROR(INDEX('xN03-S03-1b'!$AZ$18:$AZ$199,2*(ROWS(AU$6:AU10)-1)+1),"")</f>
        <v/>
      </c>
      <c r="AV10" t="str">
        <f>IFERROR(INDEX('xN03-S03-1b'!$BA$18:$BA$199,2*(ROWS(AV$6:AV10)-1)+1),"")</f>
        <v/>
      </c>
      <c r="AW10" t="str">
        <f>IFERROR(INDEX('xN03-S03-1b'!$BD$18:$BD$199,2*(ROWS(AW$6:AW10)-1)+1),"")</f>
        <v/>
      </c>
      <c r="AX10" t="s">
        <v>820</v>
      </c>
      <c r="AY10" s="170"/>
      <c r="AZ10" s="170"/>
      <c r="BA10" s="170"/>
      <c r="BB10" s="170"/>
      <c r="BC10" s="170"/>
      <c r="BD10" s="170"/>
      <c r="BE10" s="170"/>
      <c r="BF10" s="170"/>
      <c r="BG10" s="170"/>
      <c r="BH10" s="170"/>
      <c r="BI10" s="170"/>
      <c r="BJ10" s="170"/>
      <c r="BK10" s="170"/>
    </row>
    <row r="11" spans="1:173">
      <c r="A11" s="14">
        <f t="shared" si="0"/>
        <v>0</v>
      </c>
      <c r="B11" t="str">
        <f t="shared" si="1"/>
        <v/>
      </c>
      <c r="C11" t="str">
        <f>IFERROR(IF(INDEX('xN03-S03-1b'!$BM$18:$BM$199,2*(ROWS($C$6:C11)-1)+1)="","",INDEX('xN03-S03-1b'!$BM$18:$BM$199,2*(ROWS($C$6:C11)-1)+1)),"")</f>
        <v/>
      </c>
      <c r="D11" t="s">
        <v>50</v>
      </c>
      <c r="E11" t="s">
        <v>38</v>
      </c>
      <c r="F11" t="s">
        <v>741</v>
      </c>
      <c r="G11" t="str">
        <f>IFERROR(INDEX('xN03-S03-1b'!$BE$18:$BE$199,2*(ROWS(G$6:G11)-1)+1),"")</f>
        <v/>
      </c>
      <c r="H11" s="25">
        <f>IFERROR(INDEX('xN03-S03-1b'!$R$18:$R$199,2*(ROWS(H$6:H11)-1)+1),"")</f>
        <v>0</v>
      </c>
      <c r="I11" t="str">
        <f>IFERROR(INDEX('xN03-S03-1b'!$I$18:$I$199,2*(ROWS($I$6:I11)-1)+1),"")</f>
        <v/>
      </c>
      <c r="J11" s="207"/>
      <c r="K11" s="207"/>
      <c r="L11" s="13" t="str">
        <f ca="1">IFERROR(ROUND(IF($AI11&lt;&gt;"","",INDEX('xN03-S03-1b'!$AF$18:$AF$199,2*(ROWS(L$6:L11)-1)+1)),2),"")</f>
        <v/>
      </c>
      <c r="N11" s="13" t="str">
        <f ca="1">IFERROR(ROUND(IF($AI11&lt;&gt;"","",INDEX('xN03-S03-1b'!$AH$18:$AH$199,2*(ROWS(N$6:N11)-1)+1)),2),"")</f>
        <v/>
      </c>
      <c r="O11" s="13" t="str">
        <f t="shared" ca="1" si="2"/>
        <v/>
      </c>
      <c r="P11" s="10" t="str">
        <f ca="1">IFERROR(IF(AI11&lt;&gt;"","",ROUND(INDEX('xN03-S03-1b'!$O$18:$O$199,2*(ROWS(P$6:P11)-1)+1)/1000,3)),"")</f>
        <v/>
      </c>
      <c r="Q11" s="10" t="str">
        <f ca="1">IFERROR(IF(AI11&lt;&gt;"","",ROUND(INDEX('xN03-S03-1b'!$O$18:$O$199,2*(ROWS(Q$6:Q11)-1)+1)/1000,3)),"")</f>
        <v/>
      </c>
      <c r="R11" s="207"/>
      <c r="S11" s="25" t="str">
        <f ca="1">IFERROR(IF(AI11&lt;&gt;"","",INDEX('xN03-S03-1b'!$AK$18:$AK$199,2*(ROWS(S$6:S11)-1)+1)),"")</f>
        <v/>
      </c>
      <c r="T11" s="207"/>
      <c r="U11" s="31" t="str">
        <f ca="1">IFERROR(IF(AI11&lt;&gt;"","",INDEX('xN03-S03-1b'!$BF$18:$BF$199,2*(ROWS(U$6:U11)-1)+1)),"")</f>
        <v/>
      </c>
      <c r="V11" s="13" t="str">
        <f ca="1">IFERROR(IF(AI11&lt;&gt;"","",INDEX('xN03-S03-1b'!$AN$18:$AN$199,2*(ROWS(V$6:V11)-1)+1)),"")</f>
        <v/>
      </c>
      <c r="W11" s="207"/>
      <c r="X11" s="207"/>
      <c r="Y11" s="13">
        <f ca="1">IFERROR(IF(AI11&lt;&gt;"",INDEX('xN03-S03-1b'!$AF$18:$AF$199,2*(ROWS(Y$6:Y11)-1)+1),""),"")</f>
        <v>0</v>
      </c>
      <c r="AA11" s="13" t="str">
        <f ca="1">IFERROR(IF($AI11&lt;&gt;"",INDEX('xN03-S03-1b'!$AH$18:$AH$199,2*(ROWS(AA$6:AA11)-1)+1),""),"")</f>
        <v/>
      </c>
      <c r="AB11" t="str">
        <f t="shared" ca="1" si="3"/>
        <v/>
      </c>
      <c r="AC11" s="10">
        <f ca="1">IFERROR(IF($AI11&lt;&gt;"",ROUND(INDEX('xN03-S03-1b'!$O$18:$O$199,2*(ROWS(AC$6:AC11)-1)+1)/1000,3),""),"")</f>
        <v>0</v>
      </c>
      <c r="AD11" s="10">
        <f ca="1">IFERROR(IF($AI11&lt;&gt;"",ROUND(INDEX('xN03-S03-1b'!$O$18:$O$199,2*(ROWS(AD$6:AD11)-1)+1)/1000,3),""),"")</f>
        <v>0</v>
      </c>
      <c r="AE11" s="207"/>
      <c r="AF11" s="25" t="str">
        <f ca="1">IFERROR(IF(AI11&lt;&gt;"",INDEX('xN03-S03-1b'!$AK$18:$AK$199,2*(ROWS(AF$6:AF11)-1)+1),""),"")</f>
        <v/>
      </c>
      <c r="AG11" s="207"/>
      <c r="AH11" s="31" t="str">
        <f ca="1">IFERROR(IF(AI11&lt;&gt;"",INDEX('xN03-S03-1b'!$BF$18:$BF$199,2*(ROWS(AH$6:AH11)-1)+1),""),"")</f>
        <v/>
      </c>
      <c r="AI11" t="str">
        <f ca="1">IFERROR(INDEX('xN03-S03-1b'!$BO$18:$BO$199,2*(ROWS(AI$6:AI11)-1)+1),"")</f>
        <v>Enter Site City &amp; Zip (Building Tab)</v>
      </c>
      <c r="AJ11" s="25" t="str">
        <f>IFERROR(INDEX('xN03-S03-1b'!$BB$18:$BB$199,2*(ROWS(AJ$6:AJ11)-1)+1),"")</f>
        <v/>
      </c>
      <c r="AK11" s="25" t="str">
        <f>IFERROR(INDEX('xN03-S03-1b'!$BC$18:$BC$199,2*(ROWS(AK$6:AK11)-1)+1),"")</f>
        <v/>
      </c>
      <c r="AL11" s="25" t="str">
        <f>IFERROR(INDEX('xN03-S03-1b'!$V$18:$V$199,2*(ROWS(AL$6:AL11)-1)+1),"")</f>
        <v/>
      </c>
      <c r="AM11" s="25" t="str">
        <f>IFERROR(INDEX('xN03-S03-1b'!$AA$18:$AA$199,2*(ROWS(AM$6:AM11)-1)+1),"")</f>
        <v/>
      </c>
      <c r="AN11" s="207"/>
      <c r="AO11">
        <f>IFERROR(INDEX('xN03-S03-1b'!$B$18:$B$199,2*(ROWS(AO$6:AO11)-1)+1),"")</f>
        <v>6</v>
      </c>
      <c r="AP11" s="189"/>
      <c r="AQ11" s="189"/>
      <c r="AR11" s="189"/>
      <c r="AS11" t="str">
        <f>IFERROR(INDEX('xN03-S03-1b'!$C$18:$C$199,2*(ROWS(AS$6:AS11)-1)+1),"")</f>
        <v/>
      </c>
      <c r="AT11" s="13" t="str">
        <f>IFERROR(INDEX('xN03-S03-1b'!$AY$18:$AY$199,2*(ROWS(AT$6:AT11)-1)+1),"")</f>
        <v/>
      </c>
      <c r="AU11" s="13" t="str">
        <f>IFERROR(INDEX('xN03-S03-1b'!$AZ$18:$AZ$199,2*(ROWS(AU$6:AU11)-1)+1),"")</f>
        <v/>
      </c>
      <c r="AV11" t="str">
        <f>IFERROR(INDEX('xN03-S03-1b'!$BA$18:$BA$199,2*(ROWS(AV$6:AV11)-1)+1),"")</f>
        <v/>
      </c>
      <c r="AW11" t="str">
        <f>IFERROR(INDEX('xN03-S03-1b'!$BD$18:$BD$199,2*(ROWS(AW$6:AW11)-1)+1),"")</f>
        <v/>
      </c>
      <c r="AX11" t="s">
        <v>820</v>
      </c>
      <c r="AY11" s="170"/>
      <c r="AZ11" s="170"/>
      <c r="BA11" s="170"/>
      <c r="BB11" s="170"/>
      <c r="BC11" s="170"/>
      <c r="BD11" s="170"/>
      <c r="BE11" s="170"/>
      <c r="BF11" s="170"/>
      <c r="BG11" s="170"/>
      <c r="BH11" s="170"/>
      <c r="BI11" s="170"/>
      <c r="BJ11" s="170"/>
      <c r="BK11" s="170"/>
    </row>
    <row r="12" spans="1:173">
      <c r="A12" s="384" t="s">
        <v>1786</v>
      </c>
      <c r="B12" s="383"/>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170"/>
      <c r="AZ12" s="170"/>
      <c r="BA12" s="170"/>
      <c r="BB12" s="170"/>
      <c r="BC12" s="170"/>
      <c r="BD12" s="170"/>
      <c r="BE12" s="170"/>
      <c r="BF12" s="170"/>
      <c r="BG12" s="170"/>
      <c r="BH12" s="170"/>
      <c r="BI12" s="170"/>
      <c r="BJ12" s="170"/>
      <c r="BK12" s="170"/>
    </row>
    <row r="13" spans="1:173">
      <c r="A13" s="14">
        <f>PROJID_N</f>
        <v>0</v>
      </c>
      <c r="B13" t="str">
        <f>IF(C13="","",CONCATENATE(ROW(),"-",C13))</f>
        <v/>
      </c>
      <c r="C13" t="str">
        <f>IFERROR(IF(INDEX('xN03-S03-2b'!$BM$18:$BM$199,2*(ROWS($C$13:C13)-1)+1)="","",INDEX('xN03-S03-2b'!$BM$18:$BM$199,2*(ROWS($C$13:C13)-1)+1)),"")</f>
        <v/>
      </c>
      <c r="D13" t="s">
        <v>50</v>
      </c>
      <c r="E13" t="s">
        <v>38</v>
      </c>
      <c r="F13" t="s">
        <v>741</v>
      </c>
      <c r="G13" t="str">
        <f>IFERROR(INDEX('xN03-S03-2b'!$BE$18:$BE$199,2*(ROWS(G$13:G13)-1)+1),"")</f>
        <v>Interior Lighting</v>
      </c>
      <c r="H13" s="25">
        <f>IFERROR(INDEX('xN03-S03-2b'!$O$18:$O$199,2*(ROWS(H$13:H13)-1)+1),"")</f>
        <v>0</v>
      </c>
      <c r="I13" t="str">
        <f>IFERROR(INDEX('xN03-S03-2b'!$C$18:$C$199,2*(ROWS($I$13:I13)-1)+1),"")</f>
        <v/>
      </c>
      <c r="J13" s="207"/>
      <c r="K13" s="207"/>
      <c r="L13" s="13" t="str">
        <f ca="1">IFERROR(ROUND(IF($AI13&lt;&gt;"","",INDEX('xN03-S03-2b'!$AF$18:$AF$199,2*(ROWS(L$13:L13)-1)+1)),2),"")</f>
        <v/>
      </c>
      <c r="N13" s="13" t="str">
        <f ca="1">IFERROR(ROUND(IF($AI13&lt;&gt;"","",INDEX('xN03-S03-2b'!$AH$18:$AH$199,2*(ROWS(N$13:N13)-1)+1)),2),"")</f>
        <v/>
      </c>
      <c r="O13" s="13" t="str">
        <f ca="1">IFERROR(ROUND(IF($AI13&lt;&gt;"","",INDEX('xN03-S03-2b'!$AD$18:$AD$199,2*(ROWS(O$13:O13)-1)+1)),2),"")</f>
        <v/>
      </c>
      <c r="P13" s="10" t="str">
        <f ca="1">IFERROR(IF(AI13&lt;&gt;"","",ROUND(INDEX('xN03-S03-2b'!$K$18:$K$199,2*(ROWS(P$13:P13)-1)+1)/1000,3)),"")</f>
        <v/>
      </c>
      <c r="Q13" s="10" t="str">
        <f ca="1">IFERROR(IF(AI13&lt;&gt;"","",ROUND(INDEX('xN03-S03-2b'!$K$18:$K$199,2*(ROWS(Q$13:Q13)-1)+1)/1000,3)),"")</f>
        <v/>
      </c>
      <c r="R13" s="207"/>
      <c r="S13" s="25" t="str">
        <f ca="1">IFERROR(IF(AI13&lt;&gt;"","",INDEX('xN03-S03-2b'!$AK$18:$AK$199,2*(ROWS(S$13:S13)-1)+1)),"")</f>
        <v/>
      </c>
      <c r="T13" s="207"/>
      <c r="U13" s="31" t="str">
        <f ca="1">IFERROR(IF(AI13&lt;&gt;"","",INDEX('xN03-S03-2b'!$BF$18:$BF$199,2*(ROWS(U$13:U13)-1)+1)),"")</f>
        <v/>
      </c>
      <c r="V13" s="13" t="str">
        <f ca="1">IFERROR(IF(AI13&lt;&gt;"","",INDEX('xN03-S03-2b'!$AN$18:$AN$199,2*(ROWS(V$13:V13)-1)+1)),"")</f>
        <v/>
      </c>
      <c r="W13" s="207"/>
      <c r="X13" s="207"/>
      <c r="Y13" s="13" t="str">
        <f ca="1">IFERROR(IF(AI13&lt;&gt;"",INDEX('xN03-S03-2b'!$AF$18:$AF$199,2*(ROWS(Y$13:Y13)-1)+1),""),"")</f>
        <v/>
      </c>
      <c r="AA13" s="13" t="str">
        <f ca="1">IFERROR(IF($AI13&lt;&gt;"",INDEX('xN03-S03-2b'!$AH$18:$AH$199,2*(ROWS(AA$13:AA13)-1)+1),""),"")</f>
        <v/>
      </c>
      <c r="AB13" s="13" t="str">
        <f ca="1">IFERROR(IF($AI13&lt;&gt;"",INDEX('xN03-S03-2b'!$AD$18:$AD$199,2*(ROWS(AB$13:AB13)-1)+1),""),"")</f>
        <v/>
      </c>
      <c r="AC13" s="10">
        <f ca="1">IFERROR(IF($AI13&lt;&gt;"",ROUND(INDEX('xN03-S03-2b'!$O$18:$O$199,2*(ROWS(AC$13:AC13)-1)+1)/1000,3),""),"")</f>
        <v>0</v>
      </c>
      <c r="AD13" s="10">
        <f ca="1">IFERROR(IF($AI13&lt;&gt;"",ROUND(INDEX('xN03-S03-2b'!$O$18:$O$199,2*(ROWS(AD$13:AD13)-1)+1)/1000,3),""),"")</f>
        <v>0</v>
      </c>
      <c r="AE13" s="207"/>
      <c r="AF13" s="25" t="str">
        <f ca="1">IFERROR(IF(AI13&lt;&gt;"",INDEX('xN03-S03-2b'!$AK$18:$AK$199,2*(ROWS(AF13:AF13)-1)+1),""),"")</f>
        <v/>
      </c>
      <c r="AG13" s="207"/>
      <c r="AH13" s="31" t="str">
        <f ca="1">IFERROR(IF(AI13&lt;&gt;"",INDEX('xN03-S03-2b'!$BF$18:$BF$199,2*(ROWS(AH$13:AH13)-1)+1),""),"")</f>
        <v/>
      </c>
      <c r="AI13" t="str">
        <f ca="1">IFERROR(INDEX('xN03-S03-2b'!$BO$18:$BO$199,2*(ROWS(AI$13:AI13)-1)+1),"")</f>
        <v>Enter Site City &amp; Zip (Building Tab)</v>
      </c>
      <c r="AJ13" s="25" t="str">
        <f>IFERROR(INDEX('xN03-S03-2b'!$BB$18:$BB$199,2*(ROWS(AJ$13:AJ13)-1)+1),"")</f>
        <v/>
      </c>
      <c r="AK13" s="25" t="str">
        <f>IFERROR(INDEX('xN03-S03-2b'!$BC$18:$BC$199,2*(ROWS(AK$13:AK13)-1)+1),"")</f>
        <v/>
      </c>
      <c r="AL13" s="25" t="str">
        <f>IFERROR(INDEX('xN03-S03-2b'!$S$18:$S$199,2*(ROWS(AL$13:AL13)-1)+1),"")</f>
        <v/>
      </c>
      <c r="AM13" s="25" t="str">
        <f>IFERROR(INDEX('xN03-S03-2b'!$X$18:$X$199,2*(ROWS(AM$13:AM13)-1)+1),"")</f>
        <v/>
      </c>
      <c r="AN13" s="207"/>
      <c r="AO13">
        <f>IFERROR(INDEX('xN03-S03-2b'!$B$18:$B$199,2*(ROWS(AO$13:AO13)-1)+1),"")</f>
        <v>1</v>
      </c>
      <c r="AP13" s="189"/>
      <c r="AQ13" s="189"/>
      <c r="AR13" s="189"/>
      <c r="AS13" t="str">
        <f>IFERROR(INDEX('xN03-S03-2b'!$C$18:$C$199,2*(ROWS(AS$13:AS13)-1)+1)&amp;", PPF="&amp;INDEX('xN03-S03-2b'!$AA$18:$AA$199,2*(ROWS(AS$13:AS13)-1)+1)&amp;" µmol/s","")</f>
        <v>, PPF= µmol/s</v>
      </c>
      <c r="AT13" s="13" t="str">
        <f>IFERROR(INDEX('xN03-S03-2b'!$AY$18:$AY$199,2*(ROWS(AT$13:AT13)-1)+1),"")</f>
        <v/>
      </c>
      <c r="AU13" s="13" t="str">
        <f>IFERROR(INDEX('xN03-S03-2b'!$AZ$18:$AZ$199,2*(ROWS(AU$13:AU13)-1)+1),"")</f>
        <v/>
      </c>
      <c r="AV13" t="str">
        <f>IFERROR(INDEX('xN03-S03-2b'!$BA$18:$BA$199,2*(ROWS(AV$13:AV13)-1)+1),"")</f>
        <v>1,000 Sq. Ft.</v>
      </c>
      <c r="AW13">
        <f>IFERROR(INDEX('xN03-S03-2b'!$BD$18:$BD$199,2*(ROWS(AW$13:AW13)-1)+1),"")</f>
        <v>10</v>
      </c>
      <c r="AX13" t="s">
        <v>820</v>
      </c>
      <c r="AY13" s="170"/>
      <c r="AZ13" s="170"/>
      <c r="BA13" s="170"/>
      <c r="BB13" s="170"/>
      <c r="BC13" s="170"/>
      <c r="BD13" s="170"/>
      <c r="BE13" s="170"/>
      <c r="BF13" s="170"/>
      <c r="BG13" s="170"/>
      <c r="BH13" s="170"/>
      <c r="BI13" s="170"/>
      <c r="BJ13" s="170"/>
      <c r="BK13" s="170"/>
    </row>
    <row r="14" spans="1:173">
      <c r="A14" s="14">
        <f>PROJID_N</f>
        <v>0</v>
      </c>
      <c r="B14" t="str">
        <f t="shared" ref="B14:B16" si="4">IF(C14="","",CONCATENATE(ROW(),"-",C14))</f>
        <v/>
      </c>
      <c r="C14" t="str">
        <f>IFERROR(IF(INDEX('xN03-S03-2b'!$BM$18:$BM$199,2*(ROWS($C$13:C14)-1)+1)="","",INDEX('xN03-S03-2b'!$BM$18:$BM$199,2*(ROWS($C$13:C14)-1)+1)),"")</f>
        <v/>
      </c>
      <c r="D14" t="s">
        <v>50</v>
      </c>
      <c r="E14" t="s">
        <v>38</v>
      </c>
      <c r="F14" t="s">
        <v>741</v>
      </c>
      <c r="G14" t="str">
        <f>IFERROR(INDEX('xN03-S03-2b'!$BE$18:$BE$199,2*(ROWS(G$13:G14)-1)+1),"")</f>
        <v>Interior Lighting</v>
      </c>
      <c r="H14" s="25">
        <f>IFERROR(INDEX('xN03-S03-2b'!$O$18:$O$199,2*(ROWS(H$13:H14)-1)+1),"")</f>
        <v>0</v>
      </c>
      <c r="I14" t="str">
        <f>IFERROR(INDEX('xN03-S03-2b'!$C$18:$C$199,2*(ROWS($I$13:I14)-1)+1),"")</f>
        <v/>
      </c>
      <c r="J14" s="207"/>
      <c r="K14" s="207"/>
      <c r="L14" s="13" t="str">
        <f ca="1">IFERROR(ROUND(IF($AI14&lt;&gt;"","",INDEX('xN03-S03-2b'!$AF$18:$AF$199,2*(ROWS(L$13:L14)-1)+1)),2),"")</f>
        <v/>
      </c>
      <c r="N14" s="13" t="str">
        <f ca="1">IFERROR(ROUND(IF($AI14&lt;&gt;"","",INDEX('xN03-S03-2b'!$AH$18:$AH$199,2*(ROWS(N$13:N14)-1)+1)),2),"")</f>
        <v/>
      </c>
      <c r="O14" s="13" t="str">
        <f ca="1">IFERROR(ROUND(IF($AI14&lt;&gt;"","",INDEX('xN03-S03-2b'!$AD$18:$AD$199,2*(ROWS(O$13:O14)-1)+1)),2),"")</f>
        <v/>
      </c>
      <c r="P14" s="10" t="str">
        <f ca="1">IFERROR(IF(AI14&lt;&gt;"","",ROUND(INDEX('xN03-S03-2b'!$K$18:$K$199,2*(ROWS(P$13:P14)-1)+1)/1000,3)),"")</f>
        <v/>
      </c>
      <c r="Q14" s="10" t="str">
        <f ca="1">IFERROR(IF(AI14&lt;&gt;"","",ROUND(INDEX('xN03-S03-2b'!$K$18:$K$199,2*(ROWS(Q$13:Q14)-1)+1)/1000,3)),"")</f>
        <v/>
      </c>
      <c r="R14" s="207"/>
      <c r="S14" s="25" t="str">
        <f ca="1">IFERROR(IF(AI14&lt;&gt;"","",INDEX('xN03-S03-2b'!$AK$18:$AK$199,2*(ROWS(S$13:S14)-1)+1)),"")</f>
        <v/>
      </c>
      <c r="T14" s="207"/>
      <c r="U14" s="31" t="str">
        <f ca="1">IFERROR(IF(AI14&lt;&gt;"","",INDEX('xN03-S03-2b'!$BF$18:$BF$199,2*(ROWS(U$13:U14)-1)+1)),"")</f>
        <v/>
      </c>
      <c r="V14" s="13" t="str">
        <f ca="1">IFERROR(IF(AI14&lt;&gt;"","",INDEX('xN03-S03-2b'!$AN$18:$AN$199,2*(ROWS(V$13:V14)-1)+1)),"")</f>
        <v/>
      </c>
      <c r="W14" s="207"/>
      <c r="X14" s="207"/>
      <c r="Y14" s="13" t="str">
        <f ca="1">IFERROR(IF(AI14&lt;&gt;"",INDEX('xN03-S03-2b'!$AF$18:$AF$199,2*(ROWS(Y$13:Y14)-1)+1),""),"")</f>
        <v/>
      </c>
      <c r="AA14" s="13" t="str">
        <f ca="1">IFERROR(IF($AI14&lt;&gt;"",INDEX('xN03-S03-2b'!$AH$18:$AH$199,2*(ROWS(AA$13:AA14)-1)+1),""),"")</f>
        <v/>
      </c>
      <c r="AB14" s="13" t="str">
        <f ca="1">IFERROR(IF($AI14&lt;&gt;"",INDEX('xN03-S03-2b'!$AD$18:$AD$199,2*(ROWS(AB$13:AB14)-1)+1),""),"")</f>
        <v/>
      </c>
      <c r="AC14" s="10">
        <f ca="1">IFERROR(IF($AI14&lt;&gt;"",ROUND(INDEX('xN03-S03-2b'!$O$18:$O$199,2*(ROWS(AC$13:AC14)-1)+1)/1000,3),""),"")</f>
        <v>0</v>
      </c>
      <c r="AD14" s="10">
        <f ca="1">IFERROR(IF($AI14&lt;&gt;"",ROUND(INDEX('xN03-S03-2b'!$O$18:$O$199,2*(ROWS(AD$13:AD14)-1)+1)/1000,3),""),"")</f>
        <v>0</v>
      </c>
      <c r="AE14" s="207"/>
      <c r="AF14" s="25" t="str">
        <f ca="1">IFERROR(IF(AI14&lt;&gt;"",INDEX('xN03-S03-2b'!$AK$18:$AK$199,2*(ROWS(AF14:AF14)-1)+1),""),"")</f>
        <v/>
      </c>
      <c r="AG14" s="207"/>
      <c r="AH14" s="31" t="str">
        <f ca="1">IFERROR(IF(AI14&lt;&gt;"",INDEX('xN03-S03-2b'!$BF$18:$BF$199,2*(ROWS(AH$13:AH14)-1)+1),""),"")</f>
        <v/>
      </c>
      <c r="AI14" t="str">
        <f ca="1">IFERROR(INDEX('xN03-S03-2b'!$BO$18:$BO$199,2*(ROWS(AI$13:AI14)-1)+1),"")</f>
        <v>Enter Site City &amp; Zip (Building Tab)</v>
      </c>
      <c r="AJ14" s="25" t="str">
        <f>IFERROR(INDEX('xN03-S03-2b'!$BB$18:$BB$199,2*(ROWS(AJ$13:AJ14)-1)+1),"")</f>
        <v/>
      </c>
      <c r="AK14" s="25" t="str">
        <f>IFERROR(INDEX('xN03-S03-2b'!$BC$18:$BC$199,2*(ROWS(AK$13:AK14)-1)+1),"")</f>
        <v/>
      </c>
      <c r="AL14" s="25" t="str">
        <f>IFERROR(INDEX('xN03-S03-2b'!$S$18:$S$199,2*(ROWS(AL$13:AL14)-1)+1),"")</f>
        <v/>
      </c>
      <c r="AM14" s="25" t="str">
        <f>IFERROR(INDEX('xN03-S03-2b'!$X$18:$X$199,2*(ROWS(AM$13:AM14)-1)+1),"")</f>
        <v/>
      </c>
      <c r="AN14" s="207"/>
      <c r="AO14">
        <f>IFERROR(INDEX('xN03-S03-2b'!$B$18:$B$199,2*(ROWS(AO$13:AO14)-1)+1),"")</f>
        <v>2</v>
      </c>
      <c r="AP14" s="189"/>
      <c r="AQ14" s="189"/>
      <c r="AR14" s="189"/>
      <c r="AS14" t="str">
        <f>IFERROR(INDEX('xN03-S03-2b'!$C$18:$C$199,2*(ROWS(AS$13:AS14)-1)+1)&amp;", PPF="&amp;INDEX('xN03-S03-2b'!$AA$18:$AA$199,2*(ROWS(AS$13:AS14)-1)+1)&amp;" µmol/s","")</f>
        <v>, PPF= µmol/s</v>
      </c>
      <c r="AT14" s="13" t="str">
        <f>IFERROR(INDEX('xN03-S03-2b'!$AY$18:$AY$199,2*(ROWS(AT$13:AT14)-1)+1),"")</f>
        <v/>
      </c>
      <c r="AU14" s="13" t="str">
        <f>IFERROR(INDEX('xN03-S03-2b'!$AZ$18:$AZ$199,2*(ROWS(AU$13:AU14)-1)+1),"")</f>
        <v/>
      </c>
      <c r="AV14" t="str">
        <f>IFERROR(INDEX('xN03-S03-2b'!$BA$18:$BA$199,2*(ROWS(AV$13:AV14)-1)+1),"")</f>
        <v>1,000 Sq. Ft.</v>
      </c>
      <c r="AW14">
        <f>IFERROR(INDEX('xN03-S03-2b'!$BD$18:$BD$199,2*(ROWS(AW$13:AW14)-1)+1),"")</f>
        <v>10</v>
      </c>
      <c r="AX14" t="s">
        <v>820</v>
      </c>
      <c r="AY14" s="170"/>
      <c r="AZ14" s="170"/>
      <c r="BA14" s="170"/>
      <c r="BB14" s="170"/>
      <c r="BC14" s="170"/>
      <c r="BD14" s="170"/>
      <c r="BE14" s="170"/>
      <c r="BF14" s="170"/>
      <c r="BG14" s="170"/>
      <c r="BH14" s="170"/>
      <c r="BI14" s="170"/>
      <c r="BJ14" s="170"/>
      <c r="BK14" s="170"/>
    </row>
    <row r="15" spans="1:173">
      <c r="A15" s="14">
        <f>PROJID_N</f>
        <v>0</v>
      </c>
      <c r="B15" t="str">
        <f t="shared" si="4"/>
        <v/>
      </c>
      <c r="C15" t="str">
        <f>IFERROR(IF(INDEX('xN03-S03-2b'!$BM$18:$BM$199,2*(ROWS($C$13:C15)-1)+1)="","",INDEX('xN03-S03-2b'!$BM$18:$BM$199,2*(ROWS($C$13:C15)-1)+1)),"")</f>
        <v/>
      </c>
      <c r="D15" t="s">
        <v>50</v>
      </c>
      <c r="E15" t="s">
        <v>38</v>
      </c>
      <c r="F15" t="s">
        <v>741</v>
      </c>
      <c r="G15" t="str">
        <f>IFERROR(INDEX('xN03-S03-2b'!$BE$18:$BE$199,2*(ROWS(G$13:G15)-1)+1),"")</f>
        <v>Interior Lighting</v>
      </c>
      <c r="H15" s="25">
        <f>IFERROR(INDEX('xN03-S03-2b'!$O$18:$O$199,2*(ROWS(H$13:H15)-1)+1),"")</f>
        <v>0</v>
      </c>
      <c r="I15" t="str">
        <f>IFERROR(INDEX('xN03-S03-2b'!$C$18:$C$199,2*(ROWS($I$13:I15)-1)+1),"")</f>
        <v/>
      </c>
      <c r="J15" s="207"/>
      <c r="K15" s="207"/>
      <c r="L15" s="13" t="str">
        <f ca="1">IFERROR(ROUND(IF($AI15&lt;&gt;"","",INDEX('xN03-S03-2b'!$AF$18:$AF$199,2*(ROWS(L$13:L15)-1)+1)),2),"")</f>
        <v/>
      </c>
      <c r="N15" s="13" t="str">
        <f ca="1">IFERROR(ROUND(IF($AI15&lt;&gt;"","",INDEX('xN03-S03-2b'!$AH$18:$AH$199,2*(ROWS(N$13:N15)-1)+1)),2),"")</f>
        <v/>
      </c>
      <c r="O15" s="13" t="str">
        <f ca="1">IFERROR(ROUND(IF($AI15&lt;&gt;"","",INDEX('xN03-S03-2b'!$AD$18:$AD$199,2*(ROWS(O$13:O15)-1)+1)),2),"")</f>
        <v/>
      </c>
      <c r="P15" s="10" t="str">
        <f ca="1">IFERROR(IF(AI15&lt;&gt;"","",ROUND(INDEX('xN03-S03-2b'!$K$18:$K$199,2*(ROWS(P$13:P15)-1)+1)/1000,3)),"")</f>
        <v/>
      </c>
      <c r="Q15" s="10" t="str">
        <f ca="1">IFERROR(IF(AI15&lt;&gt;"","",ROUND(INDEX('xN03-S03-2b'!$K$18:$K$199,2*(ROWS(Q$13:Q15)-1)+1)/1000,3)),"")</f>
        <v/>
      </c>
      <c r="R15" s="207"/>
      <c r="S15" s="25" t="str">
        <f ca="1">IFERROR(IF(AI15&lt;&gt;"","",INDEX('xN03-S03-2b'!$AK$18:$AK$199,2*(ROWS(S$13:S15)-1)+1)),"")</f>
        <v/>
      </c>
      <c r="T15" s="207"/>
      <c r="U15" s="31" t="str">
        <f ca="1">IFERROR(IF(AI15&lt;&gt;"","",INDEX('xN03-S03-2b'!$BF$18:$BF$199,2*(ROWS(U$13:U15)-1)+1)),"")</f>
        <v/>
      </c>
      <c r="V15" s="13" t="str">
        <f ca="1">IFERROR(IF(AI15&lt;&gt;"","",INDEX('xN03-S03-2b'!$AN$18:$AN$199,2*(ROWS(V$13:V15)-1)+1)),"")</f>
        <v/>
      </c>
      <c r="W15" s="207"/>
      <c r="X15" s="207"/>
      <c r="Y15" s="13" t="str">
        <f ca="1">IFERROR(IF(AI15&lt;&gt;"",INDEX('xN03-S03-2b'!$AF$18:$AF$199,2*(ROWS(Y$13:Y15)-1)+1),""),"")</f>
        <v/>
      </c>
      <c r="AA15" s="13" t="str">
        <f ca="1">IFERROR(IF($AI15&lt;&gt;"",INDEX('xN03-S03-2b'!$AH$18:$AH$199,2*(ROWS(AA$13:AA15)-1)+1),""),"")</f>
        <v/>
      </c>
      <c r="AB15" s="13" t="str">
        <f ca="1">IFERROR(IF($AI15&lt;&gt;"",INDEX('xN03-S03-2b'!$AD$18:$AD$199,2*(ROWS(AB$13:AB15)-1)+1),""),"")</f>
        <v/>
      </c>
      <c r="AC15" s="10">
        <f ca="1">IFERROR(IF($AI15&lt;&gt;"",ROUND(INDEX('xN03-S03-2b'!$O$18:$O$199,2*(ROWS(AC$13:AC15)-1)+1)/1000,3),""),"")</f>
        <v>0</v>
      </c>
      <c r="AD15" s="10">
        <f ca="1">IFERROR(IF($AI15&lt;&gt;"",ROUND(INDEX('xN03-S03-2b'!$O$18:$O$199,2*(ROWS(AD$13:AD15)-1)+1)/1000,3),""),"")</f>
        <v>0</v>
      </c>
      <c r="AE15" s="207"/>
      <c r="AF15" s="25" t="str">
        <f ca="1">IFERROR(IF(AI15&lt;&gt;"",INDEX('xN03-S03-2b'!$AK$18:$AK$199,2*(ROWS(AF15:AF15)-1)+1),""),"")</f>
        <v/>
      </c>
      <c r="AG15" s="207"/>
      <c r="AH15" s="31" t="str">
        <f ca="1">IFERROR(IF(AI15&lt;&gt;"",INDEX('xN03-S03-2b'!$BF$18:$BF$199,2*(ROWS(AH$13:AH15)-1)+1),""),"")</f>
        <v/>
      </c>
      <c r="AI15" t="str">
        <f ca="1">IFERROR(INDEX('xN03-S03-2b'!$BO$18:$BO$199,2*(ROWS(AI$13:AI15)-1)+1),"")</f>
        <v>Enter Site City &amp; Zip (Building Tab)</v>
      </c>
      <c r="AJ15" s="25" t="str">
        <f>IFERROR(INDEX('xN03-S03-2b'!$BB$18:$BB$199,2*(ROWS(AJ$13:AJ15)-1)+1),"")</f>
        <v/>
      </c>
      <c r="AK15" s="25" t="str">
        <f>IFERROR(INDEX('xN03-S03-2b'!$BC$18:$BC$199,2*(ROWS(AK$13:AK15)-1)+1),"")</f>
        <v/>
      </c>
      <c r="AL15" s="25" t="str">
        <f>IFERROR(INDEX('xN03-S03-2b'!$S$18:$S$199,2*(ROWS(AL$13:AL15)-1)+1),"")</f>
        <v/>
      </c>
      <c r="AM15" s="25" t="str">
        <f>IFERROR(INDEX('xN03-S03-2b'!$X$18:$X$199,2*(ROWS(AM$13:AM15)-1)+1),"")</f>
        <v/>
      </c>
      <c r="AN15" s="207"/>
      <c r="AO15">
        <f>IFERROR(INDEX('xN03-S03-2b'!$B$18:$B$199,2*(ROWS(AO$13:AO15)-1)+1),"")</f>
        <v>3</v>
      </c>
      <c r="AP15" s="189"/>
      <c r="AQ15" s="189"/>
      <c r="AR15" s="189"/>
      <c r="AS15" t="str">
        <f>IFERROR(INDEX('xN03-S03-2b'!$C$18:$C$199,2*(ROWS(AS$13:AS15)-1)+1)&amp;", PPF="&amp;INDEX('xN03-S03-2b'!$AA$18:$AA$199,2*(ROWS(AS$13:AS15)-1)+1)&amp;" µmol/s","")</f>
        <v>, PPF= µmol/s</v>
      </c>
      <c r="AT15" s="13" t="str">
        <f>IFERROR(INDEX('xN03-S03-2b'!$AY$18:$AY$199,2*(ROWS(AT$13:AT15)-1)+1),"")</f>
        <v/>
      </c>
      <c r="AU15" s="13" t="str">
        <f>IFERROR(INDEX('xN03-S03-2b'!$AZ$18:$AZ$199,2*(ROWS(AU$13:AU15)-1)+1),"")</f>
        <v/>
      </c>
      <c r="AV15" t="str">
        <f>IFERROR(INDEX('xN03-S03-2b'!$BA$18:$BA$199,2*(ROWS(AV$13:AV15)-1)+1),"")</f>
        <v>1,000 Sq. Ft.</v>
      </c>
      <c r="AW15">
        <f>IFERROR(INDEX('xN03-S03-2b'!$BD$18:$BD$199,2*(ROWS(AW$13:AW15)-1)+1),"")</f>
        <v>10</v>
      </c>
      <c r="AX15" t="s">
        <v>820</v>
      </c>
      <c r="AY15" s="170"/>
      <c r="AZ15" s="170"/>
      <c r="BA15" s="170"/>
      <c r="BB15" s="170"/>
      <c r="BC15" s="170"/>
      <c r="BD15" s="170"/>
      <c r="BE15" s="170"/>
      <c r="BF15" s="170"/>
      <c r="BG15" s="170"/>
      <c r="BH15" s="170"/>
      <c r="BI15" s="170"/>
      <c r="BJ15" s="170"/>
      <c r="BK15" s="170"/>
    </row>
    <row r="16" spans="1:173">
      <c r="A16" s="14">
        <f>PROJID_N</f>
        <v>0</v>
      </c>
      <c r="B16" t="str">
        <f t="shared" si="4"/>
        <v/>
      </c>
      <c r="C16" t="str">
        <f>IFERROR(IF(INDEX('xN03-S03-2b'!$BM$18:$BM$199,2*(ROWS($C$13:C16)-1)+1)="","",INDEX('xN03-S03-2b'!$BM$18:$BM$199,2*(ROWS($C$13:C16)-1)+1)),"")</f>
        <v/>
      </c>
      <c r="D16" t="s">
        <v>50</v>
      </c>
      <c r="E16" t="s">
        <v>38</v>
      </c>
      <c r="F16" t="s">
        <v>741</v>
      </c>
      <c r="G16" t="str">
        <f>IFERROR(INDEX('xN03-S03-2b'!$BE$18:$BE$199,2*(ROWS(G$13:G16)-1)+1),"")</f>
        <v>Interior Lighting</v>
      </c>
      <c r="H16" s="25">
        <f>IFERROR(INDEX('xN03-S03-2b'!$O$18:$O$199,2*(ROWS(H$13:H16)-1)+1),"")</f>
        <v>0</v>
      </c>
      <c r="I16" t="str">
        <f>IFERROR(INDEX('xN03-S03-2b'!$C$18:$C$199,2*(ROWS($I$13:I16)-1)+1),"")</f>
        <v/>
      </c>
      <c r="J16" s="207"/>
      <c r="K16" s="207"/>
      <c r="L16" s="13" t="str">
        <f ca="1">IFERROR(ROUND(IF($AI16&lt;&gt;"","",INDEX('xN03-S03-2b'!$AF$18:$AF$199,2*(ROWS(L$13:L16)-1)+1)),2),"")</f>
        <v/>
      </c>
      <c r="N16" s="13" t="str">
        <f ca="1">IFERROR(ROUND(IF($AI16&lt;&gt;"","",INDEX('xN03-S03-2b'!$AH$18:$AH$199,2*(ROWS(N$13:N16)-1)+1)),2),"")</f>
        <v/>
      </c>
      <c r="O16" s="13" t="str">
        <f ca="1">IFERROR(ROUND(IF($AI16&lt;&gt;"","",INDEX('xN03-S03-2b'!$AD$18:$AD$199,2*(ROWS(O$13:O16)-1)+1)),2),"")</f>
        <v/>
      </c>
      <c r="P16" s="10" t="str">
        <f ca="1">IFERROR(IF(AI16&lt;&gt;"","",ROUND(INDEX('xN03-S03-2b'!$K$18:$K$199,2*(ROWS(P$13:P16)-1)+1)/1000,3)),"")</f>
        <v/>
      </c>
      <c r="Q16" s="10" t="str">
        <f ca="1">IFERROR(IF(AI16&lt;&gt;"","",ROUND(INDEX('xN03-S03-2b'!$K$18:$K$199,2*(ROWS(Q$13:Q16)-1)+1)/1000,3)),"")</f>
        <v/>
      </c>
      <c r="R16" s="207"/>
      <c r="S16" s="25" t="str">
        <f ca="1">IFERROR(IF(AI16&lt;&gt;"","",INDEX('xN03-S03-2b'!$AK$18:$AK$199,2*(ROWS(S$13:S16)-1)+1)),"")</f>
        <v/>
      </c>
      <c r="T16" s="207"/>
      <c r="U16" s="31" t="str">
        <f ca="1">IFERROR(IF(AI16&lt;&gt;"","",INDEX('xN03-S03-2b'!$BF$18:$BF$199,2*(ROWS(U$13:U16)-1)+1)),"")</f>
        <v/>
      </c>
      <c r="V16" s="13" t="str">
        <f ca="1">IFERROR(IF(AI16&lt;&gt;"","",INDEX('xN03-S03-2b'!$AN$18:$AN$199,2*(ROWS(V$13:V16)-1)+1)),"")</f>
        <v/>
      </c>
      <c r="W16" s="207"/>
      <c r="X16" s="207"/>
      <c r="Y16" s="13" t="str">
        <f ca="1">IFERROR(IF(AI16&lt;&gt;"",INDEX('xN03-S03-2b'!$AF$18:$AF$199,2*(ROWS(Y$13:Y16)-1)+1),""),"")</f>
        <v/>
      </c>
      <c r="AA16" s="13" t="str">
        <f ca="1">IFERROR(IF($AI16&lt;&gt;"",INDEX('xN03-S03-2b'!$AH$18:$AH$199,2*(ROWS(AA$13:AA16)-1)+1),""),"")</f>
        <v/>
      </c>
      <c r="AB16" s="13" t="str">
        <f ca="1">IFERROR(IF($AI16&lt;&gt;"",INDEX('xN03-S03-2b'!$AD$18:$AD$199,2*(ROWS(AB$13:AB16)-1)+1),""),"")</f>
        <v/>
      </c>
      <c r="AC16" s="10">
        <f ca="1">IFERROR(IF($AI16&lt;&gt;"",ROUND(INDEX('xN03-S03-2b'!$O$18:$O$199,2*(ROWS(AC$13:AC16)-1)+1)/1000,3),""),"")</f>
        <v>0</v>
      </c>
      <c r="AD16" s="10">
        <f ca="1">IFERROR(IF($AI16&lt;&gt;"",ROUND(INDEX('xN03-S03-2b'!$O$18:$O$199,2*(ROWS(AD$13:AD16)-1)+1)/1000,3),""),"")</f>
        <v>0</v>
      </c>
      <c r="AE16" s="207"/>
      <c r="AF16" s="25" t="str">
        <f ca="1">IFERROR(IF(AI16&lt;&gt;"",INDEX('xN03-S03-2b'!$AK$18:$AK$199,2*(ROWS(AF16:AF16)-1)+1),""),"")</f>
        <v/>
      </c>
      <c r="AG16" s="207"/>
      <c r="AH16" s="31" t="str">
        <f ca="1">IFERROR(IF(AI16&lt;&gt;"",INDEX('xN03-S03-2b'!$BF$18:$BF$199,2*(ROWS(AH$13:AH16)-1)+1),""),"")</f>
        <v/>
      </c>
      <c r="AI16" t="str">
        <f ca="1">IFERROR(INDEX('xN03-S03-2b'!$BO$18:$BO$199,2*(ROWS(AI$13:AI16)-1)+1),"")</f>
        <v>Enter Site City &amp; Zip (Building Tab)</v>
      </c>
      <c r="AJ16" s="25" t="str">
        <f>IFERROR(INDEX('xN03-S03-2b'!$BB$18:$BB$199,2*(ROWS(AJ$13:AJ16)-1)+1),"")</f>
        <v/>
      </c>
      <c r="AK16" s="25" t="str">
        <f>IFERROR(INDEX('xN03-S03-2b'!$BC$18:$BC$199,2*(ROWS(AK$13:AK16)-1)+1),"")</f>
        <v/>
      </c>
      <c r="AL16" s="25" t="str">
        <f>IFERROR(INDEX('xN03-S03-2b'!$S$18:$S$199,2*(ROWS(AL$13:AL16)-1)+1),"")</f>
        <v/>
      </c>
      <c r="AM16" s="25" t="str">
        <f>IFERROR(INDEX('xN03-S03-2b'!$X$18:$X$199,2*(ROWS(AM$13:AM16)-1)+1),"")</f>
        <v/>
      </c>
      <c r="AN16" s="207"/>
      <c r="AO16">
        <f>IFERROR(INDEX('xN03-S03-2b'!$B$18:$B$199,2*(ROWS(AO$13:AO16)-1)+1),"")</f>
        <v>4</v>
      </c>
      <c r="AP16" s="189"/>
      <c r="AQ16" s="189"/>
      <c r="AR16" s="189"/>
      <c r="AS16" t="str">
        <f>IFERROR(INDEX('xN03-S03-2b'!$C$18:$C$199,2*(ROWS(AS$13:AS16)-1)+1)&amp;", PPF="&amp;INDEX('xN03-S03-2b'!$AA$18:$AA$199,2*(ROWS(AS$13:AS16)-1)+1)&amp;" µmol/s","")</f>
        <v>, PPF= µmol/s</v>
      </c>
      <c r="AT16" s="13" t="str">
        <f>IFERROR(INDEX('xN03-S03-2b'!$AY$18:$AY$199,2*(ROWS(AT$13:AT16)-1)+1),"")</f>
        <v/>
      </c>
      <c r="AU16" s="13" t="str">
        <f>IFERROR(INDEX('xN03-S03-2b'!$AZ$18:$AZ$199,2*(ROWS(AU$13:AU16)-1)+1),"")</f>
        <v/>
      </c>
      <c r="AV16" t="str">
        <f>IFERROR(INDEX('xN03-S03-2b'!$BA$18:$BA$199,2*(ROWS(AV$13:AV16)-1)+1),"")</f>
        <v>1,000 Sq. Ft.</v>
      </c>
      <c r="AW16">
        <f>IFERROR(INDEX('xN03-S03-2b'!$BD$18:$BD$199,2*(ROWS(AW$13:AW16)-1)+1),"")</f>
        <v>10</v>
      </c>
      <c r="AX16" t="s">
        <v>820</v>
      </c>
      <c r="AY16" s="170"/>
      <c r="AZ16" s="170"/>
      <c r="BA16" s="170"/>
      <c r="BB16" s="170"/>
      <c r="BC16" s="170"/>
      <c r="BD16" s="170"/>
      <c r="BE16" s="170"/>
      <c r="BF16" s="170"/>
      <c r="BG16" s="170"/>
      <c r="BH16" s="170"/>
      <c r="BI16" s="170"/>
      <c r="BJ16" s="170"/>
      <c r="BK16" s="170"/>
    </row>
    <row r="17" spans="1:63">
      <c r="A17" s="222" t="str">
        <f>"Standard "&amp;N3S4</f>
        <v>Standard HVAC</v>
      </c>
      <c r="B17" s="190"/>
      <c r="C17" s="190"/>
      <c r="D17" s="190"/>
      <c r="E17" s="190"/>
      <c r="F17" s="190"/>
      <c r="G17" s="190"/>
      <c r="H17" s="206"/>
      <c r="I17" s="190"/>
      <c r="J17" s="202"/>
      <c r="K17" s="202"/>
      <c r="L17" s="202"/>
      <c r="M17" s="190"/>
      <c r="N17" s="190"/>
      <c r="O17" s="190"/>
      <c r="P17" s="210"/>
      <c r="Q17" s="210"/>
      <c r="R17" s="206"/>
      <c r="S17" s="206"/>
      <c r="T17" s="213"/>
      <c r="U17" s="213"/>
      <c r="V17" s="202"/>
      <c r="W17" s="202"/>
      <c r="X17" s="202"/>
      <c r="Y17" s="202"/>
      <c r="Z17" s="190"/>
      <c r="AA17" s="190"/>
      <c r="AB17" s="190"/>
      <c r="AC17" s="210"/>
      <c r="AD17" s="210"/>
      <c r="AE17" s="206"/>
      <c r="AF17" s="206"/>
      <c r="AG17" s="213"/>
      <c r="AH17" s="213"/>
      <c r="AI17" s="190"/>
      <c r="AJ17" s="206"/>
      <c r="AK17" s="206"/>
      <c r="AL17" s="206"/>
      <c r="AM17" s="206"/>
      <c r="AN17" s="206"/>
      <c r="AO17" s="190"/>
      <c r="AP17" s="190"/>
      <c r="AQ17" s="191"/>
      <c r="AR17" s="190" t="s">
        <v>2307</v>
      </c>
      <c r="AS17" s="190" t="s">
        <v>2308</v>
      </c>
      <c r="AT17" s="202"/>
      <c r="AU17" s="202"/>
      <c r="AV17" s="190"/>
      <c r="AW17" s="190"/>
      <c r="AX17" s="190"/>
      <c r="AY17" s="190" t="s">
        <v>799</v>
      </c>
      <c r="AZ17" s="170"/>
      <c r="BA17" s="170"/>
      <c r="BB17" s="170"/>
      <c r="BC17" s="170"/>
      <c r="BD17" s="170"/>
      <c r="BE17" s="170"/>
      <c r="BF17" s="170"/>
      <c r="BG17" s="170"/>
      <c r="BH17" s="170"/>
      <c r="BI17" s="170"/>
      <c r="BJ17" s="170"/>
      <c r="BK17" s="170"/>
    </row>
    <row r="18" spans="1:63">
      <c r="A18" s="14">
        <f t="shared" ref="A18:A52" si="5">PROJID_N</f>
        <v>0</v>
      </c>
      <c r="B18" t="str">
        <f>IF(C18="","",CONCATENATE(ROW(),"-",C18))</f>
        <v/>
      </c>
      <c r="C18" t="str">
        <f>IFERROR(IF(V18&gt;0,INDEX('N03-S04'!$BI$18:$BI$199,2*(ROWS($C18:C$18)-1)+1),""),"")</f>
        <v/>
      </c>
      <c r="D18" t="s">
        <v>50</v>
      </c>
      <c r="E18" t="s">
        <v>38</v>
      </c>
      <c r="F18" t="s">
        <v>849</v>
      </c>
      <c r="G18" t="str">
        <f>IFERROR(INDEX('N03-S04'!$BE$18:$BE$199,2*(ROWS($G18:G18)-1)+1),"")</f>
        <v/>
      </c>
      <c r="H18" s="207"/>
      <c r="I18" s="207"/>
      <c r="J18" s="560">
        <f>IFERROR(ROUND(INDEX('N03-S04'!$AE$18:$AE$199,2*(ROWS(J$18:J18)-1)+1),2),"")</f>
        <v>0</v>
      </c>
      <c r="K18" s="560">
        <f>IFERROR(ROUND(INDEX('N03-S04'!$AG$18:$AG$199,2*(ROWS(K$18:K18)-1)+1),2),"")</f>
        <v>0</v>
      </c>
      <c r="L18" s="13">
        <f>IFERROR(ROUND(INDEX('N03-S04'!$AY$88:$AY$199,2*(ROWS(L$18:L18)-1)+1),2),"")</f>
        <v>0</v>
      </c>
      <c r="N18" s="13" t="str">
        <f>IFERROR(ROUND(INDEX('N03-S04'!$BS$18:$BS$199,2*(ROWS(N$18:N18)-1)+1),2),"")</f>
        <v/>
      </c>
      <c r="O18" s="207"/>
      <c r="P18" s="10">
        <f>IFERROR(ROUND(INDEX('N03-S04'!$V$18:$V$199,2*(ROWS(P$18:P18)-1)+1),3),"")</f>
        <v>0</v>
      </c>
      <c r="Q18" s="10">
        <f>IFERROR(ROUND(INDEX('N03-S04'!$V$18:$V$199,2*(ROWS(Q$18:Q18)-1)+1),3),"")</f>
        <v>0</v>
      </c>
      <c r="R18" s="25">
        <f>IFERROR(INDEX('N03-S04'!$BA$88:$BA$199,2*(ROWS(R$18:R18)-1)+1),"")</f>
        <v>0</v>
      </c>
      <c r="S18" s="25" t="str">
        <f>IFERROR(INDEX('N03-S04'!$BF$18:$BF$199,2*(ROWS(S$18:S18)-1)+1),"")</f>
        <v/>
      </c>
      <c r="T18" s="31">
        <f>IFERROR(INDEX('N03-S04'!$BB$88:$BB$199,2*(ROWS(T$18:T18)-1)+1),"")</f>
        <v>0</v>
      </c>
      <c r="U18" s="31" t="str">
        <f>IFERROR(INDEX('N03-S04'!$BG$18:$BG$199,2*(ROWS(U$18:U18)-1)+1),"")</f>
        <v/>
      </c>
      <c r="V18" s="560" t="str">
        <f>IFERROR(INDEX('N03-S04'!$AR$18:$AR$199,2*(ROWS(V$18:V18)-1)+1),"")</f>
        <v/>
      </c>
      <c r="W18" s="204"/>
      <c r="X18" s="204"/>
      <c r="Y18" s="204"/>
      <c r="Z18" s="189"/>
      <c r="AA18" s="189"/>
      <c r="AB18" s="189"/>
      <c r="AC18" s="215"/>
      <c r="AD18" s="215"/>
      <c r="AE18" s="207"/>
      <c r="AF18" s="207"/>
      <c r="AG18" s="216"/>
      <c r="AH18" s="216"/>
      <c r="AI18" s="189"/>
      <c r="AJ18" s="25">
        <f>IFERROR(INDEX('N03-S04'!$BC$18:$BC$199,2*(ROWS(AJ$18:AJ18)-1)+1),"")</f>
        <v>0</v>
      </c>
      <c r="AK18" s="25">
        <f>IFERROR(INDEX('N03-S04'!$BD$18:$BD$199,2*(ROWS(AK$18:AK18)-1)+1),"")</f>
        <v>0</v>
      </c>
      <c r="AL18" s="207"/>
      <c r="AM18" s="207"/>
      <c r="AN18" s="207"/>
      <c r="AO18">
        <f>IFERROR(INDEX('N03-S04'!$B$18:$B$199,2*(ROWS(AO$18:AO18)-1)+1),"")</f>
        <v>1</v>
      </c>
      <c r="AP18" s="189"/>
      <c r="AQ18">
        <f>IFERROR(INDEX('N03-S04'!$C$18:$C$199,2*(ROWS(AQ$18:AQ18)-1)+1),"")</f>
        <v>0</v>
      </c>
      <c r="AR18" t="str" cm="1">
        <f t="array" aca="1" ref="AR18" ca="1">_xlfn.LET( _xlpm.Rows, 2*(ROWS(AS$18:AS18)-1)+1,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MATCH(AY18,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18" s="48" t="str" cm="1">
        <f t="array" aca="1" ref="AS18" ca="1">_xlfn.LET( _xlpm.Rows, 2*(ROWS(AS$18:AS18)-1)+1,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MATCH(AY18,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18" s="204"/>
      <c r="AU18" s="204"/>
      <c r="AV18">
        <f>IFERROR(INDEX('N03-S04'!$AZ$88:$AZ$199,2*(ROWS(AV$18:AV18)-1)+1),"")</f>
        <v>0</v>
      </c>
      <c r="AW18" s="189"/>
      <c r="AX18" t="str">
        <f>IFERROR(INDEX(STDHVAC_N[Reporting Methodology],MATCH(C18,STDHVAC_N[Measure Number],0)),"")</f>
        <v/>
      </c>
      <c r="AY18" s="1" t="str">
        <f>IFERROR(INDEX(STDHVAC_N[Primary Key],MATCH(C18,STDHVAC_N[Measure Number],0)),"")</f>
        <v/>
      </c>
      <c r="AZ18" s="170"/>
      <c r="BA18" s="170"/>
      <c r="BB18" s="170"/>
      <c r="BC18" s="170"/>
      <c r="BD18" s="170"/>
      <c r="BE18" s="170"/>
      <c r="BF18" s="170"/>
      <c r="BG18" s="170"/>
      <c r="BH18" s="170"/>
      <c r="BI18" s="170"/>
      <c r="BJ18" s="170"/>
      <c r="BK18" s="170"/>
    </row>
    <row r="19" spans="1:63">
      <c r="A19" s="14">
        <f t="shared" si="5"/>
        <v>0</v>
      </c>
      <c r="B19" t="str">
        <f t="shared" ref="B19:B33" si="6">IF(C19="","",CONCATENATE(ROW(),"-",C19))</f>
        <v/>
      </c>
      <c r="C19" t="str">
        <f>IFERROR(IF(V19&gt;0,INDEX('N03-S04'!$BI$18:$BI$199,2*(ROWS($C$18:C19)-1)+1),""),"")</f>
        <v/>
      </c>
      <c r="D19" t="s">
        <v>50</v>
      </c>
      <c r="E19" t="s">
        <v>38</v>
      </c>
      <c r="F19" t="s">
        <v>849</v>
      </c>
      <c r="G19" t="str">
        <f>IFERROR(INDEX('N03-S04'!$BE$18:$BE$199,2*(ROWS($G19:G19)-1)+1),"")</f>
        <v/>
      </c>
      <c r="H19" s="207"/>
      <c r="I19" s="207"/>
      <c r="J19" s="560">
        <f>IFERROR(ROUND(INDEX('N03-S04'!$AE$18:$AE$199,2*(ROWS(J$18:J19)-1)+1),2),"")</f>
        <v>0</v>
      </c>
      <c r="K19" s="560">
        <f>IFERROR(ROUND(INDEX('N03-S04'!$AG$18:$AG$199,2*(ROWS(K$18:K19)-1)+1),2),"")</f>
        <v>0</v>
      </c>
      <c r="L19" s="13">
        <f>IFERROR(ROUND(INDEX('N03-S04'!$AY$88:$AY$199,2*(ROWS(L$18:L19)-1)+1),2),"")</f>
        <v>0</v>
      </c>
      <c r="N19" s="13" t="str">
        <f>IFERROR(ROUND(INDEX('N03-S04'!$BS$18:$BS$199,2*(ROWS(N$18:N19)-1)+1),2),"")</f>
        <v/>
      </c>
      <c r="O19" s="207"/>
      <c r="P19" s="10">
        <f>IFERROR(ROUND(INDEX('N03-S04'!$V$18:$V$199,2*(ROWS(P$18:P19)-1)+1),3),"")</f>
        <v>0</v>
      </c>
      <c r="Q19" s="10">
        <f>IFERROR(ROUND(INDEX('N03-S04'!$V$18:$V$199,2*(ROWS(Q$18:Q19)-1)+1),3),"")</f>
        <v>0</v>
      </c>
      <c r="R19" s="25">
        <f>IFERROR(INDEX('N03-S04'!$BA$88:$BA$199,2*(ROWS(R$18:R19)-1)+1),"")</f>
        <v>0</v>
      </c>
      <c r="S19" s="25" t="str">
        <f>IFERROR(INDEX('N03-S04'!$BF$18:$BF$199,2*(ROWS(S$18:S19)-1)+1),"")</f>
        <v/>
      </c>
      <c r="T19" s="31">
        <f>IFERROR(INDEX('N03-S04'!$BB$88:$BB$199,2*(ROWS(T$18:T19)-1)+1),"")</f>
        <v>0</v>
      </c>
      <c r="U19" s="31" t="str">
        <f>IFERROR(INDEX('N03-S04'!$BG$18:$BG$199,2*(ROWS(U$18:U19)-1)+1),"")</f>
        <v/>
      </c>
      <c r="V19" s="560" t="str">
        <f>IFERROR(INDEX('N03-S04'!$AR$18:$AR$199,2*(ROWS(V$18:V19)-1)+1),"")</f>
        <v/>
      </c>
      <c r="W19" s="204"/>
      <c r="X19" s="204"/>
      <c r="Y19" s="204"/>
      <c r="Z19" s="189"/>
      <c r="AA19" s="189"/>
      <c r="AB19" s="189"/>
      <c r="AC19" s="215"/>
      <c r="AD19" s="215"/>
      <c r="AE19" s="207"/>
      <c r="AF19" s="207"/>
      <c r="AG19" s="216"/>
      <c r="AH19" s="216"/>
      <c r="AI19" s="189"/>
      <c r="AJ19" s="25">
        <f>IFERROR(INDEX('N03-S04'!$BC$18:$BC$199,2*(ROWS(AJ$18:AJ19)-1)+1),"")</f>
        <v>0</v>
      </c>
      <c r="AK19" s="25">
        <f>IFERROR(INDEX('N03-S04'!$BD$18:$BD$199,2*(ROWS(AK$18:AK19)-1)+1),"")</f>
        <v>0</v>
      </c>
      <c r="AL19" s="207"/>
      <c r="AM19" s="207"/>
      <c r="AN19" s="207"/>
      <c r="AO19">
        <f>IFERROR(INDEX('N03-S04'!$B$18:$B$199,2*(ROWS(AO$18:AO19)-1)+1),"")</f>
        <v>2</v>
      </c>
      <c r="AP19" s="189"/>
      <c r="AQ19">
        <f>IFERROR(INDEX('N03-S04'!$C$18:$C$199,2*(ROWS(AQ$18:AQ19)-1)+1),"")</f>
        <v>0</v>
      </c>
      <c r="AR19" t="str" cm="1">
        <f t="array" aca="1" ref="AR19" ca="1">_xlfn.LET( _xlpm.Rows, 2*(ROWS(AS$18:AS19)-1)+1,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MATCH(AY19,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19" s="48" t="str" cm="1">
        <f t="array" aca="1" ref="AS19" ca="1">_xlfn.LET( _xlpm.Rows, 2*(ROWS(AS$18:AS19)-1)+1,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MATCH(AY19,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19" s="204"/>
      <c r="AU19" s="204"/>
      <c r="AV19">
        <f>IFERROR(INDEX('N03-S04'!$AZ$88:$AZ$199,2*(ROWS(AV$18:AV19)-1)+1),"")</f>
        <v>0</v>
      </c>
      <c r="AW19" s="189"/>
      <c r="AX19" t="str">
        <f>IFERROR(INDEX(STDHVAC_N[Reporting Methodology],MATCH(C19,STDHVAC_N[Measure Number],0)),"")</f>
        <v/>
      </c>
      <c r="AY19" s="1" t="str">
        <f>IFERROR(INDEX(STDHVAC_N[Primary Key],MATCH(C19,STDHVAC_N[Measure Number],0)),"")</f>
        <v/>
      </c>
      <c r="AZ19" s="170"/>
      <c r="BA19" s="170"/>
      <c r="BB19" s="170"/>
      <c r="BC19" s="170"/>
      <c r="BD19" s="170"/>
      <c r="BE19" s="170"/>
      <c r="BF19" s="170"/>
      <c r="BG19" s="170"/>
      <c r="BH19" s="170"/>
      <c r="BI19" s="170"/>
      <c r="BJ19" s="170"/>
      <c r="BK19" s="170"/>
    </row>
    <row r="20" spans="1:63">
      <c r="A20" s="14">
        <f t="shared" si="5"/>
        <v>0</v>
      </c>
      <c r="B20" t="str">
        <f t="shared" si="6"/>
        <v/>
      </c>
      <c r="C20" t="str">
        <f>IFERROR(IF(V20&gt;0,INDEX('N03-S04'!$BI$18:$BI$199,2*(ROWS($C$18:C20)-1)+1),""),"")</f>
        <v/>
      </c>
      <c r="D20" t="s">
        <v>50</v>
      </c>
      <c r="E20" t="s">
        <v>38</v>
      </c>
      <c r="F20" t="s">
        <v>849</v>
      </c>
      <c r="G20" t="str">
        <f>IFERROR(INDEX('N03-S04'!$BE$18:$BE$199,2*(ROWS($G20:G20)-1)+1),"")</f>
        <v/>
      </c>
      <c r="H20" s="207"/>
      <c r="I20" s="207"/>
      <c r="J20" s="560">
        <f>IFERROR(ROUND(INDEX('N03-S04'!$AE$18:$AE$199,2*(ROWS(J$18:J20)-1)+1),2),"")</f>
        <v>0</v>
      </c>
      <c r="K20" s="560">
        <f>IFERROR(ROUND(INDEX('N03-S04'!$AG$18:$AG$199,2*(ROWS(K$18:K20)-1)+1),2),"")</f>
        <v>0</v>
      </c>
      <c r="L20" s="13">
        <f>IFERROR(ROUND(INDEX('N03-S04'!$AY$88:$AY$199,2*(ROWS(L$18:L20)-1)+1),2),"")</f>
        <v>0</v>
      </c>
      <c r="N20" s="13" t="str">
        <f>IFERROR(ROUND(INDEX('N03-S04'!$BS$18:$BS$199,2*(ROWS(N$18:N20)-1)+1),2),"")</f>
        <v/>
      </c>
      <c r="O20" s="207"/>
      <c r="P20" s="10">
        <f>IFERROR(ROUND(INDEX('N03-S04'!$V$18:$V$199,2*(ROWS(P$18:P20)-1)+1),3),"")</f>
        <v>0</v>
      </c>
      <c r="Q20" s="10">
        <f>IFERROR(ROUND(INDEX('N03-S04'!$V$18:$V$199,2*(ROWS(Q$18:Q20)-1)+1),3),"")</f>
        <v>0</v>
      </c>
      <c r="R20" s="25">
        <f>IFERROR(INDEX('N03-S04'!$BA$88:$BA$199,2*(ROWS(R$18:R20)-1)+1),"")</f>
        <v>0</v>
      </c>
      <c r="S20" s="25" t="str">
        <f>IFERROR(INDEX('N03-S04'!$BF$18:$BF$199,2*(ROWS(S$18:S20)-1)+1),"")</f>
        <v/>
      </c>
      <c r="T20" s="31">
        <f>IFERROR(INDEX('N03-S04'!$BB$88:$BB$199,2*(ROWS(T$18:T20)-1)+1),"")</f>
        <v>0</v>
      </c>
      <c r="U20" s="31" t="str">
        <f>IFERROR(INDEX('N03-S04'!$BG$18:$BG$199,2*(ROWS(U$18:U20)-1)+1),"")</f>
        <v/>
      </c>
      <c r="V20" s="560" t="str">
        <f>IFERROR(INDEX('N03-S04'!$AR$18:$AR$199,2*(ROWS(V$18:V20)-1)+1),"")</f>
        <v/>
      </c>
      <c r="W20" s="204"/>
      <c r="X20" s="204"/>
      <c r="Y20" s="204"/>
      <c r="Z20" s="189"/>
      <c r="AA20" s="189"/>
      <c r="AB20" s="189"/>
      <c r="AC20" s="215"/>
      <c r="AD20" s="215"/>
      <c r="AE20" s="207"/>
      <c r="AF20" s="207"/>
      <c r="AG20" s="216"/>
      <c r="AH20" s="216"/>
      <c r="AI20" s="189"/>
      <c r="AJ20" s="25">
        <f>IFERROR(INDEX('N03-S04'!$BC$18:$BC$199,2*(ROWS(AJ$18:AJ20)-1)+1),"")</f>
        <v>0</v>
      </c>
      <c r="AK20" s="25">
        <f>IFERROR(INDEX('N03-S04'!$BD$18:$BD$199,2*(ROWS(AK$18:AK20)-1)+1),"")</f>
        <v>0</v>
      </c>
      <c r="AL20" s="207"/>
      <c r="AM20" s="207"/>
      <c r="AN20" s="207"/>
      <c r="AO20">
        <f>IFERROR(INDEX('N03-S04'!$B$18:$B$199,2*(ROWS(AO$18:AO20)-1)+1),"")</f>
        <v>3</v>
      </c>
      <c r="AP20" s="189"/>
      <c r="AQ20">
        <f>IFERROR(INDEX('N03-S04'!$C$18:$C$199,2*(ROWS(AQ$18:AQ20)-1)+1),"")</f>
        <v>0</v>
      </c>
      <c r="AR20" t="str" cm="1">
        <f t="array" aca="1" ref="AR20" ca="1">_xlfn.LET( _xlpm.Rows, 2*(ROWS(AS$18:AS20)-1)+1,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MATCH(AY20,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20" s="48" t="str" cm="1">
        <f t="array" aca="1" ref="AS20" ca="1">_xlfn.LET( _xlpm.Rows, 2*(ROWS(AS$18:AS20)-1)+1,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MATCH(AY20,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20" s="204"/>
      <c r="AU20" s="204"/>
      <c r="AV20">
        <f>IFERROR(INDEX('N03-S04'!$AZ$88:$AZ$199,2*(ROWS(AV$18:AV20)-1)+1),"")</f>
        <v>0</v>
      </c>
      <c r="AW20" s="189"/>
      <c r="AX20" t="str">
        <f>IFERROR(INDEX(STDHVAC_N[Reporting Methodology],MATCH(C20,STDHVAC_N[Measure Number],0)),"")</f>
        <v/>
      </c>
      <c r="AY20" s="1" t="str">
        <f>IFERROR(INDEX(STDHVAC_N[Primary Key],MATCH(C20,STDHVAC_N[Measure Number],0)),"")</f>
        <v/>
      </c>
      <c r="AZ20" s="170"/>
      <c r="BA20" s="170"/>
      <c r="BB20" s="170"/>
      <c r="BC20" s="170"/>
      <c r="BD20" s="170"/>
      <c r="BE20" s="170"/>
      <c r="BF20" s="170"/>
      <c r="BG20" s="170"/>
      <c r="BH20" s="170"/>
      <c r="BI20" s="170"/>
      <c r="BJ20" s="170"/>
      <c r="BK20" s="170"/>
    </row>
    <row r="21" spans="1:63">
      <c r="A21" s="14">
        <f t="shared" si="5"/>
        <v>0</v>
      </c>
      <c r="B21" t="str">
        <f t="shared" si="6"/>
        <v/>
      </c>
      <c r="C21" t="str">
        <f>IFERROR(IF(V21&gt;0,INDEX('N03-S04'!$BI$18:$BI$199,2*(ROWS($C$18:C21)-1)+1),""),"")</f>
        <v/>
      </c>
      <c r="D21" t="s">
        <v>50</v>
      </c>
      <c r="E21" t="s">
        <v>38</v>
      </c>
      <c r="F21" t="s">
        <v>849</v>
      </c>
      <c r="G21" t="str">
        <f>IFERROR(INDEX('N03-S04'!$BE$18:$BE$199,2*(ROWS($G21:G21)-1)+1),"")</f>
        <v/>
      </c>
      <c r="H21" s="207"/>
      <c r="I21" s="207"/>
      <c r="J21" s="560">
        <f>IFERROR(ROUND(INDEX('N03-S04'!$AE$18:$AE$199,2*(ROWS(J$18:J21)-1)+1),2),"")</f>
        <v>0</v>
      </c>
      <c r="K21" s="560">
        <f>IFERROR(ROUND(INDEX('N03-S04'!$AG$18:$AG$199,2*(ROWS(K$18:K21)-1)+1),2),"")</f>
        <v>0</v>
      </c>
      <c r="L21" s="13">
        <f>IFERROR(ROUND(INDEX('N03-S04'!$AY$88:$AY$199,2*(ROWS(L$18:L21)-1)+1),2),"")</f>
        <v>0</v>
      </c>
      <c r="N21" s="13" t="str">
        <f>IFERROR(ROUND(INDEX('N03-S04'!$BS$18:$BS$199,2*(ROWS(N$18:N21)-1)+1),2),"")</f>
        <v/>
      </c>
      <c r="O21" s="207"/>
      <c r="P21" s="10">
        <f>IFERROR(ROUND(INDEX('N03-S04'!$V$18:$V$199,2*(ROWS(P$18:P21)-1)+1),3),"")</f>
        <v>0</v>
      </c>
      <c r="Q21" s="10">
        <f>IFERROR(ROUND(INDEX('N03-S04'!$V$18:$V$199,2*(ROWS(Q$18:Q21)-1)+1),3),"")</f>
        <v>0</v>
      </c>
      <c r="R21" s="25">
        <f>IFERROR(INDEX('N03-S04'!$BA$88:$BA$199,2*(ROWS(R$18:R21)-1)+1),"")</f>
        <v>0</v>
      </c>
      <c r="S21" s="25" t="str">
        <f>IFERROR(INDEX('N03-S04'!$BF$18:$BF$199,2*(ROWS(S$18:S21)-1)+1),"")</f>
        <v/>
      </c>
      <c r="T21" s="31">
        <f>IFERROR(INDEX('N03-S04'!$BB$88:$BB$199,2*(ROWS(T$18:T21)-1)+1),"")</f>
        <v>0</v>
      </c>
      <c r="U21" s="31" t="str">
        <f>IFERROR(INDEX('N03-S04'!$BG$18:$BG$199,2*(ROWS(U$18:U21)-1)+1),"")</f>
        <v/>
      </c>
      <c r="V21" s="560" t="str">
        <f>IFERROR(INDEX('N03-S04'!$AR$18:$AR$199,2*(ROWS(V$18:V21)-1)+1),"")</f>
        <v/>
      </c>
      <c r="W21" s="204"/>
      <c r="X21" s="204"/>
      <c r="Y21" s="204"/>
      <c r="Z21" s="189"/>
      <c r="AA21" s="189"/>
      <c r="AB21" s="189"/>
      <c r="AC21" s="215"/>
      <c r="AD21" s="215"/>
      <c r="AE21" s="207"/>
      <c r="AF21" s="207"/>
      <c r="AG21" s="216"/>
      <c r="AH21" s="216"/>
      <c r="AI21" s="189"/>
      <c r="AJ21" s="25">
        <f>IFERROR(INDEX('N03-S04'!$BC$18:$BC$199,2*(ROWS(AJ$18:AJ21)-1)+1),"")</f>
        <v>0</v>
      </c>
      <c r="AK21" s="25">
        <f>IFERROR(INDEX('N03-S04'!$BD$18:$BD$199,2*(ROWS(AK$18:AK21)-1)+1),"")</f>
        <v>0</v>
      </c>
      <c r="AL21" s="207"/>
      <c r="AM21" s="207"/>
      <c r="AN21" s="207"/>
      <c r="AO21">
        <f>IFERROR(INDEX('N03-S04'!$B$18:$B$199,2*(ROWS(AO$18:AO21)-1)+1),"")</f>
        <v>4</v>
      </c>
      <c r="AP21" s="189"/>
      <c r="AQ21">
        <f>IFERROR(INDEX('N03-S04'!$C$18:$C$199,2*(ROWS(AQ$18:AQ21)-1)+1),"")</f>
        <v>0</v>
      </c>
      <c r="AR21" t="str" cm="1">
        <f t="array" aca="1" ref="AR21" ca="1">_xlfn.LET( _xlpm.Rows, 2*(ROWS(AS$18:AS21)-1)+1,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MATCH(AY21,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21" s="48" t="str" cm="1">
        <f t="array" aca="1" ref="AS21" ca="1">_xlfn.LET( _xlpm.Rows, 2*(ROWS(AS$18:AS21)-1)+1,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MATCH(AY21,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21" s="204"/>
      <c r="AU21" s="204"/>
      <c r="AV21">
        <f>IFERROR(INDEX('N03-S04'!$AZ$88:$AZ$199,2*(ROWS(AV$18:AV21)-1)+1),"")</f>
        <v>0</v>
      </c>
      <c r="AW21" s="189"/>
      <c r="AX21" t="str">
        <f>IFERROR(INDEX(STDHVAC_N[Reporting Methodology],MATCH(C21,STDHVAC_N[Measure Number],0)),"")</f>
        <v/>
      </c>
      <c r="AY21" s="1" t="str">
        <f>IFERROR(INDEX(STDHVAC_N[Primary Key],MATCH(C21,STDHVAC_N[Measure Number],0)),"")</f>
        <v/>
      </c>
      <c r="AZ21" s="170"/>
      <c r="BA21" s="170"/>
      <c r="BB21" s="170"/>
      <c r="BC21" s="170"/>
      <c r="BD21" s="170"/>
      <c r="BE21" s="170"/>
      <c r="BF21" s="170"/>
      <c r="BG21" s="170"/>
      <c r="BH21" s="170"/>
      <c r="BI21" s="170"/>
      <c r="BJ21" s="170"/>
      <c r="BK21" s="170"/>
    </row>
    <row r="22" spans="1:63">
      <c r="A22" s="14">
        <f t="shared" si="5"/>
        <v>0</v>
      </c>
      <c r="B22" t="str">
        <f t="shared" si="6"/>
        <v/>
      </c>
      <c r="C22" t="str">
        <f>IFERROR(IF(V22&gt;0,INDEX('N03-S04'!$BI$18:$BI$199,2*(ROWS($C$18:C22)-1)+1),""),"")</f>
        <v/>
      </c>
      <c r="D22" t="s">
        <v>50</v>
      </c>
      <c r="E22" t="s">
        <v>38</v>
      </c>
      <c r="F22" t="s">
        <v>849</v>
      </c>
      <c r="G22" t="str">
        <f>IFERROR(INDEX('N03-S04'!$BE$18:$BE$199,2*(ROWS($G22:G22)-1)+1),"")</f>
        <v/>
      </c>
      <c r="H22" s="207"/>
      <c r="I22" s="207"/>
      <c r="J22" s="560">
        <f>IFERROR(ROUND(INDEX('N03-S04'!$AE$18:$AE$199,2*(ROWS(J$18:J22)-1)+1),2),"")</f>
        <v>0</v>
      </c>
      <c r="K22" s="560">
        <f>IFERROR(ROUND(INDEX('N03-S04'!$AG$18:$AG$199,2*(ROWS(K$18:K22)-1)+1),2),"")</f>
        <v>0</v>
      </c>
      <c r="L22" s="13">
        <f>IFERROR(ROUND(INDEX('N03-S04'!$AY$88:$AY$199,2*(ROWS(L$18:L22)-1)+1),2),"")</f>
        <v>0</v>
      </c>
      <c r="N22" s="13" t="str">
        <f>IFERROR(ROUND(INDEX('N03-S04'!$BS$18:$BS$199,2*(ROWS(N$18:N22)-1)+1),2),"")</f>
        <v/>
      </c>
      <c r="O22" s="207"/>
      <c r="P22" s="10">
        <f>IFERROR(ROUND(INDEX('N03-S04'!$V$18:$V$199,2*(ROWS(P$18:P22)-1)+1),3),"")</f>
        <v>0</v>
      </c>
      <c r="Q22" s="10">
        <f>IFERROR(ROUND(INDEX('N03-S04'!$V$18:$V$199,2*(ROWS(Q$18:Q22)-1)+1),3),"")</f>
        <v>0</v>
      </c>
      <c r="R22" s="25">
        <f>IFERROR(INDEX('N03-S04'!$BA$88:$BA$199,2*(ROWS(R$18:R22)-1)+1),"")</f>
        <v>0</v>
      </c>
      <c r="S22" s="25" t="str">
        <f>IFERROR(INDEX('N03-S04'!$BF$18:$BF$199,2*(ROWS(S$18:S22)-1)+1),"")</f>
        <v/>
      </c>
      <c r="T22" s="31">
        <f>IFERROR(INDEX('N03-S04'!$BB$88:$BB$199,2*(ROWS(T$18:T22)-1)+1),"")</f>
        <v>0</v>
      </c>
      <c r="U22" s="31" t="str">
        <f>IFERROR(INDEX('N03-S04'!$BG$18:$BG$199,2*(ROWS(U$18:U22)-1)+1),"")</f>
        <v/>
      </c>
      <c r="V22" s="560" t="str">
        <f>IFERROR(INDEX('N03-S04'!$AR$18:$AR$199,2*(ROWS(V$18:V22)-1)+1),"")</f>
        <v/>
      </c>
      <c r="W22" s="204"/>
      <c r="X22" s="204"/>
      <c r="Y22" s="204"/>
      <c r="Z22" s="189"/>
      <c r="AA22" s="189"/>
      <c r="AB22" s="189"/>
      <c r="AC22" s="215"/>
      <c r="AD22" s="215"/>
      <c r="AE22" s="207"/>
      <c r="AF22" s="207"/>
      <c r="AG22" s="216"/>
      <c r="AH22" s="216"/>
      <c r="AI22" s="189"/>
      <c r="AJ22" s="25">
        <f>IFERROR(INDEX('N03-S04'!$BC$18:$BC$199,2*(ROWS(AJ$18:AJ22)-1)+1),"")</f>
        <v>0</v>
      </c>
      <c r="AK22" s="25">
        <f>IFERROR(INDEX('N03-S04'!$BD$18:$BD$199,2*(ROWS(AK$18:AK22)-1)+1),"")</f>
        <v>0</v>
      </c>
      <c r="AL22" s="207"/>
      <c r="AM22" s="207"/>
      <c r="AN22" s="207"/>
      <c r="AO22">
        <f>IFERROR(INDEX('N03-S04'!$B$18:$B$199,2*(ROWS(AO$18:AO22)-1)+1),"")</f>
        <v>5</v>
      </c>
      <c r="AP22" s="189"/>
      <c r="AQ22">
        <f>IFERROR(INDEX('N03-S04'!$C$18:$C$199,2*(ROWS(AQ$18:AQ22)-1)+1),"")</f>
        <v>0</v>
      </c>
      <c r="AR22" t="str" cm="1">
        <f t="array" aca="1" ref="AR22" ca="1">_xlfn.LET( _xlpm.Rows, 2*(ROWS(AS$18:AS22)-1)+1,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MATCH(AY22,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22" s="48" t="str" cm="1">
        <f t="array" aca="1" ref="AS22" ca="1">_xlfn.LET( _xlpm.Rows, 2*(ROWS(AS$18:AS22)-1)+1,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MATCH(AY22,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22" s="204"/>
      <c r="AU22" s="204"/>
      <c r="AV22">
        <f>IFERROR(INDEX('N03-S04'!$AZ$88:$AZ$199,2*(ROWS(AV$18:AV22)-1)+1),"")</f>
        <v>0</v>
      </c>
      <c r="AW22" s="189"/>
      <c r="AX22" t="str">
        <f>IFERROR(INDEX(STDHVAC_N[Reporting Methodology],MATCH(C22,STDHVAC_N[Measure Number],0)),"")</f>
        <v/>
      </c>
      <c r="AY22" s="1" t="str">
        <f>IFERROR(INDEX(STDHVAC_N[Primary Key],MATCH(C22,STDHVAC_N[Measure Number],0)),"")</f>
        <v/>
      </c>
      <c r="AZ22" s="170"/>
      <c r="BA22" s="170"/>
      <c r="BB22" s="170"/>
      <c r="BC22" s="170"/>
      <c r="BD22" s="170"/>
      <c r="BE22" s="170"/>
      <c r="BF22" s="170"/>
      <c r="BG22" s="170"/>
      <c r="BH22" s="170"/>
      <c r="BI22" s="170"/>
      <c r="BJ22" s="170"/>
      <c r="BK22" s="170"/>
    </row>
    <row r="23" spans="1:63">
      <c r="A23" s="14">
        <f t="shared" si="5"/>
        <v>0</v>
      </c>
      <c r="B23" t="str">
        <f t="shared" si="6"/>
        <v/>
      </c>
      <c r="C23" t="str">
        <f>IFERROR(IF(V23&gt;0,INDEX('N03-S04'!$BI$18:$BI$199,2*(ROWS($C$18:C23)-1)+1),""),"")</f>
        <v/>
      </c>
      <c r="D23" t="s">
        <v>50</v>
      </c>
      <c r="E23" t="s">
        <v>38</v>
      </c>
      <c r="F23" t="s">
        <v>849</v>
      </c>
      <c r="G23" t="str">
        <f>IFERROR(INDEX('N03-S04'!$BE$18:$BE$199,2*(ROWS($G23:G23)-1)+1),"")</f>
        <v/>
      </c>
      <c r="H23" s="207"/>
      <c r="I23" s="207"/>
      <c r="J23" s="560">
        <f>IFERROR(ROUND(INDEX('N03-S04'!$AE$18:$AE$199,2*(ROWS(J$18:J23)-1)+1),2),"")</f>
        <v>0</v>
      </c>
      <c r="K23" s="560">
        <f>IFERROR(ROUND(INDEX('N03-S04'!$AG$18:$AG$199,2*(ROWS(K$18:K23)-1)+1),2),"")</f>
        <v>0</v>
      </c>
      <c r="L23" s="13">
        <f>IFERROR(ROUND(INDEX('N03-S04'!$AY$88:$AY$199,2*(ROWS(L$18:L23)-1)+1),2),"")</f>
        <v>0</v>
      </c>
      <c r="N23" s="13" t="str">
        <f>IFERROR(ROUND(INDEX('N03-S04'!$BS$18:$BS$199,2*(ROWS(N$18:N23)-1)+1),2),"")</f>
        <v/>
      </c>
      <c r="O23" s="207"/>
      <c r="P23" s="10">
        <f>IFERROR(ROUND(INDEX('N03-S04'!$V$18:$V$199,2*(ROWS(P$18:P23)-1)+1),3),"")</f>
        <v>0</v>
      </c>
      <c r="Q23" s="10">
        <f>IFERROR(ROUND(INDEX('N03-S04'!$V$18:$V$199,2*(ROWS(Q$18:Q23)-1)+1),3),"")</f>
        <v>0</v>
      </c>
      <c r="R23" s="25">
        <f>IFERROR(INDEX('N03-S04'!$BA$88:$BA$199,2*(ROWS(R$18:R23)-1)+1),"")</f>
        <v>0</v>
      </c>
      <c r="S23" s="25" t="str">
        <f>IFERROR(INDEX('N03-S04'!$BF$18:$BF$199,2*(ROWS(S$18:S23)-1)+1),"")</f>
        <v/>
      </c>
      <c r="T23" s="31">
        <f>IFERROR(INDEX('N03-S04'!$BB$88:$BB$199,2*(ROWS(T$18:T23)-1)+1),"")</f>
        <v>0</v>
      </c>
      <c r="U23" s="31" t="str">
        <f>IFERROR(INDEX('N03-S04'!$BG$18:$BG$199,2*(ROWS(U$18:U23)-1)+1),"")</f>
        <v/>
      </c>
      <c r="V23" s="560" t="str">
        <f>IFERROR(INDEX('N03-S04'!$AR$18:$AR$199,2*(ROWS(V$18:V23)-1)+1),"")</f>
        <v/>
      </c>
      <c r="W23" s="204"/>
      <c r="X23" s="204"/>
      <c r="Y23" s="204"/>
      <c r="Z23" s="189"/>
      <c r="AA23" s="189"/>
      <c r="AB23" s="189"/>
      <c r="AC23" s="215"/>
      <c r="AD23" s="215"/>
      <c r="AE23" s="207"/>
      <c r="AF23" s="207"/>
      <c r="AG23" s="216"/>
      <c r="AH23" s="216"/>
      <c r="AI23" s="189"/>
      <c r="AJ23" s="25">
        <f>IFERROR(INDEX('N03-S04'!$BC$18:$BC$199,2*(ROWS(AJ$18:AJ23)-1)+1),"")</f>
        <v>0</v>
      </c>
      <c r="AK23" s="25">
        <f>IFERROR(INDEX('N03-S04'!$BD$18:$BD$199,2*(ROWS(AK$18:AK23)-1)+1),"")</f>
        <v>0</v>
      </c>
      <c r="AL23" s="207"/>
      <c r="AM23" s="207"/>
      <c r="AN23" s="207"/>
      <c r="AO23">
        <f>IFERROR(INDEX('N03-S04'!$B$18:$B$199,2*(ROWS(AO$18:AO23)-1)+1),"")</f>
        <v>6</v>
      </c>
      <c r="AP23" s="189"/>
      <c r="AQ23">
        <f>IFERROR(INDEX('N03-S04'!$C$18:$C$199,2*(ROWS(AQ$18:AQ23)-1)+1),"")</f>
        <v>0</v>
      </c>
      <c r="AR23" t="str" cm="1">
        <f t="array" aca="1" ref="AR23" ca="1">_xlfn.LET( _xlpm.Rows, 2*(ROWS(AS$18:AS23)-1)+1,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MATCH(AY23,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23" s="48" t="str" cm="1">
        <f t="array" aca="1" ref="AS23" ca="1">_xlfn.LET( _xlpm.Rows, 2*(ROWS(AS$18:AS23)-1)+1,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MATCH(AY23,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23" s="204"/>
      <c r="AU23" s="204"/>
      <c r="AV23">
        <f>IFERROR(INDEX('N03-S04'!$AZ$88:$AZ$199,2*(ROWS(AV$18:AV23)-1)+1),"")</f>
        <v>0</v>
      </c>
      <c r="AW23" s="189"/>
      <c r="AX23" t="str">
        <f>IFERROR(INDEX(STDHVAC_N[Reporting Methodology],MATCH(C23,STDHVAC_N[Measure Number],0)),"")</f>
        <v/>
      </c>
      <c r="AY23" s="1" t="str">
        <f>IFERROR(INDEX(STDHVAC_N[Primary Key],MATCH(C23,STDHVAC_N[Measure Number],0)),"")</f>
        <v/>
      </c>
      <c r="AZ23" s="170"/>
      <c r="BA23" s="170"/>
      <c r="BB23" s="170"/>
      <c r="BC23" s="170"/>
      <c r="BD23" s="170"/>
      <c r="BE23" s="170"/>
      <c r="BF23" s="170"/>
      <c r="BG23" s="170"/>
      <c r="BH23" s="170"/>
      <c r="BI23" s="170"/>
      <c r="BJ23" s="170"/>
      <c r="BK23" s="170"/>
    </row>
    <row r="24" spans="1:63">
      <c r="A24" s="14">
        <f t="shared" si="5"/>
        <v>0</v>
      </c>
      <c r="B24" t="str">
        <f t="shared" si="6"/>
        <v/>
      </c>
      <c r="C24" t="str">
        <f>IFERROR(IF(V24&gt;0,INDEX('N03-S04'!$BI$18:$BI$199,2*(ROWS($C$18:C24)-1)+1),""),"")</f>
        <v/>
      </c>
      <c r="D24" t="s">
        <v>50</v>
      </c>
      <c r="E24" t="s">
        <v>38</v>
      </c>
      <c r="F24" t="s">
        <v>849</v>
      </c>
      <c r="G24" t="str">
        <f>IFERROR(INDEX('N03-S04'!$BE$18:$BE$199,2*(ROWS($G24:G24)-1)+1),"")</f>
        <v/>
      </c>
      <c r="H24" s="207"/>
      <c r="I24" s="207"/>
      <c r="J24" s="560">
        <f>IFERROR(ROUND(INDEX('N03-S04'!$AE$18:$AE$199,2*(ROWS(J$18:J24)-1)+1),2),"")</f>
        <v>0</v>
      </c>
      <c r="K24" s="560">
        <f>IFERROR(ROUND(INDEX('N03-S04'!$AG$18:$AG$199,2*(ROWS(K$18:K24)-1)+1),2),"")</f>
        <v>0</v>
      </c>
      <c r="L24" s="13">
        <f>IFERROR(ROUND(INDEX('N03-S04'!$AY$88:$AY$199,2*(ROWS(L$18:L24)-1)+1),2),"")</f>
        <v>0</v>
      </c>
      <c r="N24" s="13" t="str">
        <f>IFERROR(ROUND(INDEX('N03-S04'!$BS$18:$BS$199,2*(ROWS(N$18:N24)-1)+1),2),"")</f>
        <v/>
      </c>
      <c r="O24" s="207"/>
      <c r="P24" s="10">
        <f>IFERROR(ROUND(INDEX('N03-S04'!$V$18:$V$199,2*(ROWS(P$18:P24)-1)+1),3),"")</f>
        <v>0</v>
      </c>
      <c r="Q24" s="10">
        <f>IFERROR(ROUND(INDEX('N03-S04'!$V$18:$V$199,2*(ROWS(Q$18:Q24)-1)+1),3),"")</f>
        <v>0</v>
      </c>
      <c r="R24" s="25">
        <f>IFERROR(INDEX('N03-S04'!$BA$88:$BA$199,2*(ROWS(R$18:R24)-1)+1),"")</f>
        <v>0</v>
      </c>
      <c r="S24" s="25" t="str">
        <f>IFERROR(INDEX('N03-S04'!$BF$18:$BF$199,2*(ROWS(S$18:S24)-1)+1),"")</f>
        <v/>
      </c>
      <c r="T24" s="31">
        <f>IFERROR(INDEX('N03-S04'!$BB$88:$BB$199,2*(ROWS(T$18:T24)-1)+1),"")</f>
        <v>0</v>
      </c>
      <c r="U24" s="31" t="str">
        <f>IFERROR(INDEX('N03-S04'!$BG$18:$BG$199,2*(ROWS(U$18:U24)-1)+1),"")</f>
        <v/>
      </c>
      <c r="V24" s="560" t="str">
        <f>IFERROR(INDEX('N03-S04'!$AR$18:$AR$199,2*(ROWS(V$18:V24)-1)+1),"")</f>
        <v/>
      </c>
      <c r="W24" s="204"/>
      <c r="X24" s="204"/>
      <c r="Y24" s="204"/>
      <c r="Z24" s="189"/>
      <c r="AA24" s="189"/>
      <c r="AB24" s="189"/>
      <c r="AC24" s="215"/>
      <c r="AD24" s="215"/>
      <c r="AE24" s="207"/>
      <c r="AF24" s="207"/>
      <c r="AG24" s="216"/>
      <c r="AH24" s="216"/>
      <c r="AI24" s="189"/>
      <c r="AJ24" s="25">
        <f>IFERROR(INDEX('N03-S04'!$BC$18:$BC$199,2*(ROWS(AJ$18:AJ24)-1)+1),"")</f>
        <v>0</v>
      </c>
      <c r="AK24" s="25">
        <f>IFERROR(INDEX('N03-S04'!$BD$18:$BD$199,2*(ROWS(AK$18:AK24)-1)+1),"")</f>
        <v>0</v>
      </c>
      <c r="AL24" s="207"/>
      <c r="AM24" s="207"/>
      <c r="AN24" s="207"/>
      <c r="AO24">
        <f>IFERROR(INDEX('N03-S04'!$B$18:$B$199,2*(ROWS(AO$18:AO24)-1)+1),"")</f>
        <v>7</v>
      </c>
      <c r="AP24" s="189"/>
      <c r="AQ24">
        <f>IFERROR(INDEX('N03-S04'!$C$18:$C$199,2*(ROWS(AQ$18:AQ24)-1)+1),"")</f>
        <v>0</v>
      </c>
      <c r="AR24" t="str" cm="1">
        <f t="array" aca="1" ref="AR24" ca="1">_xlfn.LET( _xlpm.Rows, 2*(ROWS(AS$18:AS24)-1)+1,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MATCH(AY24,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24" s="48" t="str" cm="1">
        <f t="array" aca="1" ref="AS24" ca="1">_xlfn.LET( _xlpm.Rows, 2*(ROWS(AS$18:AS24)-1)+1,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MATCH(AY24,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24" s="204"/>
      <c r="AU24" s="204"/>
      <c r="AV24">
        <f>IFERROR(INDEX('N03-S04'!$AZ$88:$AZ$199,2*(ROWS(AV$18:AV24)-1)+1),"")</f>
        <v>0</v>
      </c>
      <c r="AW24" s="189"/>
      <c r="AX24" t="str">
        <f>IFERROR(INDEX(STDHVAC_N[Reporting Methodology],MATCH(C24,STDHVAC_N[Measure Number],0)),"")</f>
        <v/>
      </c>
      <c r="AY24" s="1" t="str">
        <f>IFERROR(INDEX(STDHVAC_N[Primary Key],MATCH(C24,STDHVAC_N[Measure Number],0)),"")</f>
        <v/>
      </c>
      <c r="AZ24" s="170"/>
      <c r="BA24" s="170"/>
      <c r="BB24" s="170"/>
      <c r="BC24" s="170"/>
      <c r="BD24" s="170"/>
      <c r="BE24" s="170"/>
      <c r="BF24" s="170"/>
      <c r="BG24" s="170"/>
      <c r="BH24" s="170"/>
      <c r="BI24" s="170"/>
      <c r="BJ24" s="170"/>
      <c r="BK24" s="170"/>
    </row>
    <row r="25" spans="1:63">
      <c r="A25" s="14">
        <f t="shared" si="5"/>
        <v>0</v>
      </c>
      <c r="B25" t="str">
        <f t="shared" si="6"/>
        <v/>
      </c>
      <c r="C25" t="str">
        <f>IFERROR(IF(V25&gt;0,INDEX('N03-S04'!$BI$18:$BI$199,2*(ROWS($C$18:C25)-1)+1),""),"")</f>
        <v/>
      </c>
      <c r="D25" t="s">
        <v>50</v>
      </c>
      <c r="E25" t="s">
        <v>38</v>
      </c>
      <c r="F25" t="s">
        <v>849</v>
      </c>
      <c r="G25" t="str">
        <f>IFERROR(INDEX('N03-S04'!$BE$18:$BE$199,2*(ROWS($G25:G25)-1)+1),"")</f>
        <v/>
      </c>
      <c r="H25" s="207"/>
      <c r="I25" s="207"/>
      <c r="J25" s="560">
        <f>IFERROR(ROUND(INDEX('N03-S04'!$AE$18:$AE$199,2*(ROWS(J$18:J25)-1)+1),2),"")</f>
        <v>0</v>
      </c>
      <c r="K25" s="560">
        <f>IFERROR(ROUND(INDEX('N03-S04'!$AG$18:$AG$199,2*(ROWS(K$18:K25)-1)+1),2),"")</f>
        <v>0</v>
      </c>
      <c r="L25" s="13">
        <f>IFERROR(ROUND(INDEX('N03-S04'!$AY$88:$AY$199,2*(ROWS(L$18:L25)-1)+1),2),"")</f>
        <v>0</v>
      </c>
      <c r="N25" s="13" t="str">
        <f>IFERROR(ROUND(INDEX('N03-S04'!$BS$18:$BS$199,2*(ROWS(N$18:N25)-1)+1),2),"")</f>
        <v/>
      </c>
      <c r="O25" s="207"/>
      <c r="P25" s="10">
        <f>IFERROR(ROUND(INDEX('N03-S04'!$V$18:$V$199,2*(ROWS(P$18:P25)-1)+1),3),"")</f>
        <v>0</v>
      </c>
      <c r="Q25" s="10">
        <f>IFERROR(ROUND(INDEX('N03-S04'!$V$18:$V$199,2*(ROWS(Q$18:Q25)-1)+1),3),"")</f>
        <v>0</v>
      </c>
      <c r="R25" s="25">
        <f>IFERROR(INDEX('N03-S04'!$BA$88:$BA$199,2*(ROWS(R$18:R25)-1)+1),"")</f>
        <v>0</v>
      </c>
      <c r="S25" s="25" t="str">
        <f>IFERROR(INDEX('N03-S04'!$BF$18:$BF$199,2*(ROWS(S$18:S25)-1)+1),"")</f>
        <v/>
      </c>
      <c r="T25" s="31">
        <f>IFERROR(INDEX('N03-S04'!$BB$88:$BB$199,2*(ROWS(T$18:T25)-1)+1),"")</f>
        <v>0</v>
      </c>
      <c r="U25" s="31" t="str">
        <f>IFERROR(INDEX('N03-S04'!$BG$18:$BG$199,2*(ROWS(U$18:U25)-1)+1),"")</f>
        <v/>
      </c>
      <c r="V25" s="560" t="str">
        <f>IFERROR(INDEX('N03-S04'!$AR$18:$AR$199,2*(ROWS(V$18:V25)-1)+1),"")</f>
        <v/>
      </c>
      <c r="W25" s="204"/>
      <c r="X25" s="204"/>
      <c r="Y25" s="204"/>
      <c r="Z25" s="189"/>
      <c r="AA25" s="189"/>
      <c r="AB25" s="189"/>
      <c r="AC25" s="215"/>
      <c r="AD25" s="215"/>
      <c r="AE25" s="207"/>
      <c r="AF25" s="207"/>
      <c r="AG25" s="216"/>
      <c r="AH25" s="216"/>
      <c r="AI25" s="189"/>
      <c r="AJ25" s="25">
        <f>IFERROR(INDEX('N03-S04'!$BC$18:$BC$199,2*(ROWS(AJ$18:AJ25)-1)+1),"")</f>
        <v>0</v>
      </c>
      <c r="AK25" s="25">
        <f>IFERROR(INDEX('N03-S04'!$BD$18:$BD$199,2*(ROWS(AK$18:AK25)-1)+1),"")</f>
        <v>0</v>
      </c>
      <c r="AL25" s="207"/>
      <c r="AM25" s="207"/>
      <c r="AN25" s="207"/>
      <c r="AO25">
        <f>IFERROR(INDEX('N03-S04'!$B$18:$B$199,2*(ROWS(AO$18:AO25)-1)+1),"")</f>
        <v>8</v>
      </c>
      <c r="AP25" s="189"/>
      <c r="AQ25">
        <f>IFERROR(INDEX('N03-S04'!$C$18:$C$199,2*(ROWS(AQ$18:AQ25)-1)+1),"")</f>
        <v>0</v>
      </c>
      <c r="AR25" t="str" cm="1">
        <f t="array" aca="1" ref="AR25" ca="1">_xlfn.LET( _xlpm.Rows, 2*(ROWS(AS$18:AS25)-1)+1,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MATCH(AY25,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25" s="48" t="str" cm="1">
        <f t="array" aca="1" ref="AS25" ca="1">_xlfn.LET( _xlpm.Rows, 2*(ROWS(AS$18:AS25)-1)+1,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MATCH(AY25,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25" s="204"/>
      <c r="AU25" s="204"/>
      <c r="AV25">
        <f>IFERROR(INDEX('N03-S04'!$AZ$88:$AZ$199,2*(ROWS(AV$18:AV25)-1)+1),"")</f>
        <v>0</v>
      </c>
      <c r="AW25" s="189"/>
      <c r="AX25" t="str">
        <f>IFERROR(INDEX(STDHVAC_N[Reporting Methodology],MATCH(C25,STDHVAC_N[Measure Number],0)),"")</f>
        <v/>
      </c>
      <c r="AY25" s="1" t="str">
        <f>IFERROR(INDEX(STDHVAC_N[Primary Key],MATCH(C25,STDHVAC_N[Measure Number],0)),"")</f>
        <v/>
      </c>
      <c r="AZ25" s="170"/>
      <c r="BA25" s="170"/>
      <c r="BB25" s="170"/>
      <c r="BC25" s="170"/>
      <c r="BD25" s="170"/>
      <c r="BE25" s="170"/>
      <c r="BF25" s="170"/>
      <c r="BG25" s="170"/>
      <c r="BH25" s="170"/>
      <c r="BI25" s="170"/>
      <c r="BJ25" s="170"/>
      <c r="BK25" s="170"/>
    </row>
    <row r="26" spans="1:63">
      <c r="A26" s="14">
        <f t="shared" si="5"/>
        <v>0</v>
      </c>
      <c r="B26" t="str">
        <f t="shared" si="6"/>
        <v/>
      </c>
      <c r="C26" t="str">
        <f>IFERROR(IF(V26&gt;0,INDEX('N03-S04'!$BI$18:$BI$199,2*(ROWS($C$18:C26)-1)+1),""),"")</f>
        <v/>
      </c>
      <c r="D26" t="s">
        <v>50</v>
      </c>
      <c r="E26" t="s">
        <v>38</v>
      </c>
      <c r="F26" t="s">
        <v>849</v>
      </c>
      <c r="G26" t="str">
        <f>IFERROR(INDEX('N03-S04'!$BE$18:$BE$199,2*(ROWS($G26:G26)-1)+1),"")</f>
        <v/>
      </c>
      <c r="H26" s="207"/>
      <c r="I26" s="207"/>
      <c r="J26" s="560">
        <f>IFERROR(ROUND(INDEX('N03-S04'!$AE$18:$AE$199,2*(ROWS(J$18:J26)-1)+1),2),"")</f>
        <v>0</v>
      </c>
      <c r="K26" s="560">
        <f>IFERROR(ROUND(INDEX('N03-S04'!$AG$18:$AG$199,2*(ROWS(K$18:K26)-1)+1),2),"")</f>
        <v>0</v>
      </c>
      <c r="L26" s="13">
        <f>IFERROR(ROUND(INDEX('N03-S04'!$AY$88:$AY$199,2*(ROWS(L$18:L26)-1)+1),2),"")</f>
        <v>0</v>
      </c>
      <c r="N26" s="13" t="str">
        <f>IFERROR(ROUND(INDEX('N03-S04'!$BS$18:$BS$199,2*(ROWS(N$18:N26)-1)+1),2),"")</f>
        <v/>
      </c>
      <c r="O26" s="207"/>
      <c r="P26" s="10">
        <f>IFERROR(ROUND(INDEX('N03-S04'!$V$18:$V$199,2*(ROWS(P$18:P26)-1)+1),3),"")</f>
        <v>0</v>
      </c>
      <c r="Q26" s="10">
        <f>IFERROR(ROUND(INDEX('N03-S04'!$V$18:$V$199,2*(ROWS(Q$18:Q26)-1)+1),3),"")</f>
        <v>0</v>
      </c>
      <c r="R26" s="25">
        <f>IFERROR(INDEX('N03-S04'!$BA$88:$BA$199,2*(ROWS(R$18:R26)-1)+1),"")</f>
        <v>0</v>
      </c>
      <c r="S26" s="25" t="str">
        <f>IFERROR(INDEX('N03-S04'!$BF$18:$BF$199,2*(ROWS(S$18:S26)-1)+1),"")</f>
        <v/>
      </c>
      <c r="T26" s="31">
        <f>IFERROR(INDEX('N03-S04'!$BB$88:$BB$199,2*(ROWS(T$18:T26)-1)+1),"")</f>
        <v>0</v>
      </c>
      <c r="U26" s="31" t="str">
        <f>IFERROR(INDEX('N03-S04'!$BG$18:$BG$199,2*(ROWS(U$18:U26)-1)+1),"")</f>
        <v/>
      </c>
      <c r="V26" s="560" t="str">
        <f>IFERROR(INDEX('N03-S04'!$AR$18:$AR$199,2*(ROWS(V$18:V26)-1)+1),"")</f>
        <v/>
      </c>
      <c r="W26" s="204"/>
      <c r="X26" s="204"/>
      <c r="Y26" s="204"/>
      <c r="Z26" s="189"/>
      <c r="AA26" s="189"/>
      <c r="AB26" s="189"/>
      <c r="AC26" s="215"/>
      <c r="AD26" s="215"/>
      <c r="AE26" s="207"/>
      <c r="AF26" s="207"/>
      <c r="AG26" s="216"/>
      <c r="AH26" s="216"/>
      <c r="AI26" s="189"/>
      <c r="AJ26" s="25">
        <f>IFERROR(INDEX('N03-S04'!$BC$18:$BC$199,2*(ROWS(AJ$18:AJ26)-1)+1),"")</f>
        <v>0</v>
      </c>
      <c r="AK26" s="25">
        <f>IFERROR(INDEX('N03-S04'!$BD$18:$BD$199,2*(ROWS(AK$18:AK26)-1)+1),"")</f>
        <v>0</v>
      </c>
      <c r="AL26" s="207"/>
      <c r="AM26" s="207"/>
      <c r="AN26" s="207"/>
      <c r="AO26">
        <f>IFERROR(INDEX('N03-S04'!$B$18:$B$199,2*(ROWS(AO$18:AO26)-1)+1),"")</f>
        <v>9</v>
      </c>
      <c r="AP26" s="189"/>
      <c r="AQ26">
        <f>IFERROR(INDEX('N03-S04'!$C$18:$C$199,2*(ROWS(AQ$18:AQ26)-1)+1),"")</f>
        <v>0</v>
      </c>
      <c r="AR26" t="str" cm="1">
        <f t="array" aca="1" ref="AR26" ca="1">_xlfn.LET( _xlpm.Rows, 2*(ROWS(AS$18:AS26)-1)+1,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MATCH(AY26,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26" s="48" t="str" cm="1">
        <f t="array" aca="1" ref="AS26" ca="1">_xlfn.LET( _xlpm.Rows, 2*(ROWS(AS$18:AS26)-1)+1,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MATCH(AY26,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26" s="204"/>
      <c r="AU26" s="204"/>
      <c r="AV26">
        <f>IFERROR(INDEX('N03-S04'!$AZ$88:$AZ$199,2*(ROWS(AV$18:AV26)-1)+1),"")</f>
        <v>0</v>
      </c>
      <c r="AW26" s="189"/>
      <c r="AX26" t="str">
        <f>IFERROR(INDEX(STDHVAC_N[Reporting Methodology],MATCH(C26,STDHVAC_N[Measure Number],0)),"")</f>
        <v/>
      </c>
      <c r="AY26" s="1" t="str">
        <f>IFERROR(INDEX(STDHVAC_N[Primary Key],MATCH(C26,STDHVAC_N[Measure Number],0)),"")</f>
        <v/>
      </c>
      <c r="AZ26" s="170"/>
      <c r="BA26" s="170"/>
      <c r="BB26" s="170"/>
      <c r="BC26" s="170"/>
      <c r="BD26" s="170"/>
      <c r="BE26" s="170"/>
      <c r="BF26" s="170"/>
      <c r="BG26" s="170"/>
      <c r="BH26" s="170"/>
      <c r="BI26" s="170"/>
      <c r="BJ26" s="170"/>
      <c r="BK26" s="170"/>
    </row>
    <row r="27" spans="1:63">
      <c r="A27" s="14">
        <f t="shared" si="5"/>
        <v>0</v>
      </c>
      <c r="B27" t="str">
        <f t="shared" si="6"/>
        <v/>
      </c>
      <c r="C27" t="str">
        <f>IFERROR(IF(V27&gt;0,INDEX('N03-S04'!$BI$18:$BI$199,2*(ROWS($C$18:C27)-1)+1),""),"")</f>
        <v/>
      </c>
      <c r="D27" t="s">
        <v>50</v>
      </c>
      <c r="E27" t="s">
        <v>38</v>
      </c>
      <c r="F27" t="s">
        <v>849</v>
      </c>
      <c r="G27" t="str">
        <f>IFERROR(INDEX('N03-S04'!$BE$18:$BE$199,2*(ROWS($G27:G27)-1)+1),"")</f>
        <v/>
      </c>
      <c r="H27" s="207"/>
      <c r="I27" s="207"/>
      <c r="J27" s="560">
        <f>IFERROR(ROUND(INDEX('N03-S04'!$AE$18:$AE$199,2*(ROWS(J$18:J27)-1)+1),2),"")</f>
        <v>0</v>
      </c>
      <c r="K27" s="560">
        <f>IFERROR(ROUND(INDEX('N03-S04'!$AG$18:$AG$199,2*(ROWS(K$18:K27)-1)+1),2),"")</f>
        <v>0</v>
      </c>
      <c r="L27" s="13">
        <f>IFERROR(ROUND(INDEX('N03-S04'!$AY$88:$AY$199,2*(ROWS(L$18:L27)-1)+1),2),"")</f>
        <v>0</v>
      </c>
      <c r="N27" s="13" t="str">
        <f>IFERROR(ROUND(INDEX('N03-S04'!$BS$18:$BS$199,2*(ROWS(N$18:N27)-1)+1),2),"")</f>
        <v/>
      </c>
      <c r="O27" s="207"/>
      <c r="P27" s="10">
        <f>IFERROR(ROUND(INDEX('N03-S04'!$V$18:$V$199,2*(ROWS(P$18:P27)-1)+1),3),"")</f>
        <v>0</v>
      </c>
      <c r="Q27" s="10">
        <f>IFERROR(ROUND(INDEX('N03-S04'!$V$18:$V$199,2*(ROWS(Q$18:Q27)-1)+1),3),"")</f>
        <v>0</v>
      </c>
      <c r="R27" s="25">
        <f>IFERROR(INDEX('N03-S04'!$BA$88:$BA$199,2*(ROWS(R$18:R27)-1)+1),"")</f>
        <v>0</v>
      </c>
      <c r="S27" s="25" t="str">
        <f>IFERROR(INDEX('N03-S04'!$BF$18:$BF$199,2*(ROWS(S$18:S27)-1)+1),"")</f>
        <v/>
      </c>
      <c r="T27" s="31">
        <f>IFERROR(INDEX('N03-S04'!$BB$88:$BB$199,2*(ROWS(T$18:T27)-1)+1),"")</f>
        <v>0</v>
      </c>
      <c r="U27" s="31" t="str">
        <f>IFERROR(INDEX('N03-S04'!$BG$18:$BG$199,2*(ROWS(U$18:U27)-1)+1),"")</f>
        <v/>
      </c>
      <c r="V27" s="560" t="str">
        <f>IFERROR(INDEX('N03-S04'!$AR$18:$AR$199,2*(ROWS(V$18:V27)-1)+1),"")</f>
        <v/>
      </c>
      <c r="W27" s="204"/>
      <c r="X27" s="204"/>
      <c r="Y27" s="204"/>
      <c r="Z27" s="189"/>
      <c r="AA27" s="189"/>
      <c r="AB27" s="189"/>
      <c r="AC27" s="215"/>
      <c r="AD27" s="215"/>
      <c r="AE27" s="207"/>
      <c r="AF27" s="207"/>
      <c r="AG27" s="216"/>
      <c r="AH27" s="216"/>
      <c r="AI27" s="189"/>
      <c r="AJ27" s="25">
        <f>IFERROR(INDEX('N03-S04'!$BC$18:$BC$199,2*(ROWS(AJ$18:AJ27)-1)+1),"")</f>
        <v>0</v>
      </c>
      <c r="AK27" s="25">
        <f>IFERROR(INDEX('N03-S04'!$BD$18:$BD$199,2*(ROWS(AK$18:AK27)-1)+1),"")</f>
        <v>0</v>
      </c>
      <c r="AL27" s="207"/>
      <c r="AM27" s="207"/>
      <c r="AN27" s="207"/>
      <c r="AO27">
        <f>IFERROR(INDEX('N03-S04'!$B$18:$B$199,2*(ROWS(AO$18:AO27)-1)+1),"")</f>
        <v>10</v>
      </c>
      <c r="AP27" s="189"/>
      <c r="AQ27">
        <f>IFERROR(INDEX('N03-S04'!$C$18:$C$199,2*(ROWS(AQ$18:AQ27)-1)+1),"")</f>
        <v>0</v>
      </c>
      <c r="AR27" t="str" cm="1">
        <f t="array" aca="1" ref="AR27" ca="1">_xlfn.LET( _xlpm.Rows, 2*(ROWS(AS$18:AS27)-1)+1,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MATCH(AY27,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27" s="48" t="str" cm="1">
        <f t="array" aca="1" ref="AS27" ca="1">_xlfn.LET( _xlpm.Rows, 2*(ROWS(AS$18:AS27)-1)+1,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MATCH(AY27,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27" s="204"/>
      <c r="AU27" s="204"/>
      <c r="AV27">
        <f>IFERROR(INDEX('N03-S04'!$AZ$88:$AZ$199,2*(ROWS(AV$18:AV27)-1)+1),"")</f>
        <v>0</v>
      </c>
      <c r="AW27" s="189"/>
      <c r="AX27" t="str">
        <f>IFERROR(INDEX(STDHVAC_N[Reporting Methodology],MATCH(C27,STDHVAC_N[Measure Number],0)),"")</f>
        <v/>
      </c>
      <c r="AY27" s="1" t="str">
        <f>IFERROR(INDEX(STDHVAC_N[Primary Key],MATCH(C27,STDHVAC_N[Measure Number],0)),"")</f>
        <v/>
      </c>
      <c r="AZ27" s="170"/>
      <c r="BA27" s="170"/>
      <c r="BB27" s="170"/>
      <c r="BC27" s="170"/>
      <c r="BD27" s="170"/>
      <c r="BE27" s="170"/>
      <c r="BF27" s="170"/>
      <c r="BG27" s="170"/>
      <c r="BH27" s="170"/>
      <c r="BI27" s="170"/>
      <c r="BJ27" s="170"/>
      <c r="BK27" s="170"/>
    </row>
    <row r="28" spans="1:63">
      <c r="A28" s="14">
        <f t="shared" si="5"/>
        <v>0</v>
      </c>
      <c r="B28" t="str">
        <f t="shared" si="6"/>
        <v/>
      </c>
      <c r="C28" t="str">
        <f>IFERROR(IF(V28&gt;0,INDEX('N03-S04'!$BI$18:$BI$199,2*(ROWS($C$18:C28)-1)+1),""),"")</f>
        <v/>
      </c>
      <c r="D28" t="s">
        <v>50</v>
      </c>
      <c r="E28" t="s">
        <v>38</v>
      </c>
      <c r="F28" t="s">
        <v>849</v>
      </c>
      <c r="G28" t="str">
        <f>IFERROR(INDEX('N03-S04'!$BE$18:$BE$199,2*(ROWS($G28:G28)-1)+1),"")</f>
        <v/>
      </c>
      <c r="H28" s="207"/>
      <c r="I28" s="207"/>
      <c r="J28" s="560">
        <f>IFERROR(ROUND(INDEX('N03-S04'!$AE$18:$AE$199,2*(ROWS(J$18:J28)-1)+1),2),"")</f>
        <v>0</v>
      </c>
      <c r="K28" s="560">
        <f>IFERROR(ROUND(INDEX('N03-S04'!$AG$18:$AG$199,2*(ROWS(K$18:K28)-1)+1),2),"")</f>
        <v>0</v>
      </c>
      <c r="L28" s="13">
        <f>IFERROR(ROUND(INDEX('N03-S04'!$AY$88:$AY$199,2*(ROWS(L$18:L28)-1)+1),2),"")</f>
        <v>0</v>
      </c>
      <c r="N28" s="13" t="str">
        <f>IFERROR(ROUND(INDEX('N03-S04'!$BS$18:$BS$199,2*(ROWS(N$18:N28)-1)+1),2),"")</f>
        <v/>
      </c>
      <c r="O28" s="207"/>
      <c r="P28" s="10">
        <f>IFERROR(ROUND(INDEX('N03-S04'!$V$18:$V$199,2*(ROWS(P$18:P28)-1)+1),3),"")</f>
        <v>0</v>
      </c>
      <c r="Q28" s="10">
        <f>IFERROR(ROUND(INDEX('N03-S04'!$V$18:$V$199,2*(ROWS(Q$18:Q28)-1)+1),3),"")</f>
        <v>0</v>
      </c>
      <c r="R28" s="25">
        <f>IFERROR(INDEX('N03-S04'!$BA$88:$BA$199,2*(ROWS(R$18:R28)-1)+1),"")</f>
        <v>0</v>
      </c>
      <c r="S28" s="25" t="str">
        <f>IFERROR(INDEX('N03-S04'!$BF$18:$BF$199,2*(ROWS(S$18:S28)-1)+1),"")</f>
        <v/>
      </c>
      <c r="T28" s="31">
        <f>IFERROR(INDEX('N03-S04'!$BB$88:$BB$199,2*(ROWS(T$18:T28)-1)+1),"")</f>
        <v>0</v>
      </c>
      <c r="U28" s="31" t="str">
        <f>IFERROR(INDEX('N03-S04'!$BG$18:$BG$199,2*(ROWS(U$18:U28)-1)+1),"")</f>
        <v/>
      </c>
      <c r="V28" s="560" t="str">
        <f>IFERROR(INDEX('N03-S04'!$AR$18:$AR$199,2*(ROWS(V$18:V28)-1)+1),"")</f>
        <v/>
      </c>
      <c r="W28" s="204"/>
      <c r="X28" s="204"/>
      <c r="Y28" s="204"/>
      <c r="Z28" s="189"/>
      <c r="AA28" s="189"/>
      <c r="AB28" s="189"/>
      <c r="AC28" s="215"/>
      <c r="AD28" s="215"/>
      <c r="AE28" s="207"/>
      <c r="AF28" s="207"/>
      <c r="AG28" s="216"/>
      <c r="AH28" s="216"/>
      <c r="AI28" s="189"/>
      <c r="AJ28" s="25">
        <f>IFERROR(INDEX('N03-S04'!$BC$18:$BC$199,2*(ROWS(AJ$18:AJ28)-1)+1),"")</f>
        <v>0</v>
      </c>
      <c r="AK28" s="25">
        <f>IFERROR(INDEX('N03-S04'!$BD$18:$BD$199,2*(ROWS(AK$18:AK28)-1)+1),"")</f>
        <v>0</v>
      </c>
      <c r="AL28" s="207"/>
      <c r="AM28" s="207"/>
      <c r="AN28" s="207"/>
      <c r="AO28">
        <f>IFERROR(INDEX('N03-S04'!$B$18:$B$199,2*(ROWS(AO$18:AO28)-1)+1),"")</f>
        <v>11</v>
      </c>
      <c r="AP28" s="189"/>
      <c r="AQ28">
        <f>IFERROR(INDEX('N03-S04'!$C$18:$C$199,2*(ROWS(AQ$18:AQ28)-1)+1),"")</f>
        <v>0</v>
      </c>
      <c r="AR28" t="str" cm="1">
        <f t="array" aca="1" ref="AR28" ca="1">_xlfn.LET( _xlpm.Rows, 2*(ROWS(AS$18:AS28)-1)+1,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MATCH(AY28,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28" s="48" t="str" cm="1">
        <f t="array" aca="1" ref="AS28" ca="1">_xlfn.LET( _xlpm.Rows, 2*(ROWS(AS$18:AS28)-1)+1,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MATCH(AY28,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28" s="204"/>
      <c r="AU28" s="204"/>
      <c r="AV28">
        <f>IFERROR(INDEX('N03-S04'!$AZ$88:$AZ$199,2*(ROWS(AV$18:AV28)-1)+1),"")</f>
        <v>0</v>
      </c>
      <c r="AW28" s="189"/>
      <c r="AX28" t="str">
        <f>IFERROR(INDEX(STDHVAC_N[Reporting Methodology],MATCH(C28,STDHVAC_N[Measure Number],0)),"")</f>
        <v/>
      </c>
      <c r="AY28" s="1" t="str">
        <f>IFERROR(INDEX(STDHVAC_N[Primary Key],MATCH(C28,STDHVAC_N[Measure Number],0)),"")</f>
        <v/>
      </c>
      <c r="AZ28" s="170"/>
      <c r="BA28" s="170"/>
      <c r="BB28" s="170"/>
      <c r="BC28" s="170"/>
      <c r="BD28" s="170"/>
      <c r="BE28" s="170"/>
      <c r="BF28" s="170"/>
      <c r="BG28" s="170"/>
      <c r="BH28" s="170"/>
      <c r="BI28" s="170"/>
      <c r="BJ28" s="170"/>
      <c r="BK28" s="170"/>
    </row>
    <row r="29" spans="1:63">
      <c r="A29" s="14">
        <f t="shared" si="5"/>
        <v>0</v>
      </c>
      <c r="B29" t="str">
        <f t="shared" si="6"/>
        <v/>
      </c>
      <c r="C29" t="str">
        <f>IFERROR(IF(V29&gt;0,INDEX('N03-S04'!$BI$18:$BI$199,2*(ROWS($C$18:C29)-1)+1),""),"")</f>
        <v/>
      </c>
      <c r="D29" t="s">
        <v>50</v>
      </c>
      <c r="E29" t="s">
        <v>38</v>
      </c>
      <c r="F29" t="s">
        <v>849</v>
      </c>
      <c r="G29" t="str">
        <f>IFERROR(INDEX('N03-S04'!$BE$18:$BE$199,2*(ROWS($G29:G29)-1)+1),"")</f>
        <v/>
      </c>
      <c r="H29" s="207"/>
      <c r="I29" s="207"/>
      <c r="J29" s="560">
        <f>IFERROR(ROUND(INDEX('N03-S04'!$AE$18:$AE$199,2*(ROWS(J$18:J29)-1)+1),2),"")</f>
        <v>0</v>
      </c>
      <c r="K29" s="560">
        <f>IFERROR(ROUND(INDEX('N03-S04'!$AG$18:$AG$199,2*(ROWS(K$18:K29)-1)+1),2),"")</f>
        <v>0</v>
      </c>
      <c r="L29" s="13">
        <f>IFERROR(ROUND(INDEX('N03-S04'!$AY$88:$AY$199,2*(ROWS(L$18:L29)-1)+1),2),"")</f>
        <v>0</v>
      </c>
      <c r="N29" s="13" t="str">
        <f>IFERROR(ROUND(INDEX('N03-S04'!$BS$18:$BS$199,2*(ROWS(N$18:N29)-1)+1),2),"")</f>
        <v/>
      </c>
      <c r="O29" s="207"/>
      <c r="P29" s="10">
        <f>IFERROR(ROUND(INDEX('N03-S04'!$V$18:$V$199,2*(ROWS(P$18:P29)-1)+1),3),"")</f>
        <v>0</v>
      </c>
      <c r="Q29" s="10">
        <f>IFERROR(ROUND(INDEX('N03-S04'!$V$18:$V$199,2*(ROWS(Q$18:Q29)-1)+1),3),"")</f>
        <v>0</v>
      </c>
      <c r="R29" s="25">
        <f>IFERROR(INDEX('N03-S04'!$BA$88:$BA$199,2*(ROWS(R$18:R29)-1)+1),"")</f>
        <v>0</v>
      </c>
      <c r="S29" s="25" t="str">
        <f>IFERROR(INDEX('N03-S04'!$BF$18:$BF$199,2*(ROWS(S$18:S29)-1)+1),"")</f>
        <v/>
      </c>
      <c r="T29" s="31">
        <f>IFERROR(INDEX('N03-S04'!$BB$88:$BB$199,2*(ROWS(T$18:T29)-1)+1),"")</f>
        <v>0</v>
      </c>
      <c r="U29" s="31" t="str">
        <f>IFERROR(INDEX('N03-S04'!$BG$18:$BG$199,2*(ROWS(U$18:U29)-1)+1),"")</f>
        <v/>
      </c>
      <c r="V29" s="560" t="str">
        <f>IFERROR(INDEX('N03-S04'!$AR$18:$AR$199,2*(ROWS(V$18:V29)-1)+1),"")</f>
        <v/>
      </c>
      <c r="W29" s="204"/>
      <c r="X29" s="204"/>
      <c r="Y29" s="204"/>
      <c r="Z29" s="189"/>
      <c r="AA29" s="189"/>
      <c r="AB29" s="189"/>
      <c r="AC29" s="215"/>
      <c r="AD29" s="215"/>
      <c r="AE29" s="207"/>
      <c r="AF29" s="207"/>
      <c r="AG29" s="216"/>
      <c r="AH29" s="216"/>
      <c r="AI29" s="189"/>
      <c r="AJ29" s="25">
        <f>IFERROR(INDEX('N03-S04'!$BC$18:$BC$199,2*(ROWS(AJ$18:AJ29)-1)+1),"")</f>
        <v>0</v>
      </c>
      <c r="AK29" s="25">
        <f>IFERROR(INDEX('N03-S04'!$BD$18:$BD$199,2*(ROWS(AK$18:AK29)-1)+1),"")</f>
        <v>0</v>
      </c>
      <c r="AL29" s="207"/>
      <c r="AM29" s="207"/>
      <c r="AN29" s="207"/>
      <c r="AO29">
        <f>IFERROR(INDEX('N03-S04'!$B$18:$B$199,2*(ROWS(AO$18:AO29)-1)+1),"")</f>
        <v>12</v>
      </c>
      <c r="AP29" s="189"/>
      <c r="AQ29">
        <f>IFERROR(INDEX('N03-S04'!$C$18:$C$199,2*(ROWS(AQ$18:AQ29)-1)+1),"")</f>
        <v>0</v>
      </c>
      <c r="AR29" t="str" cm="1">
        <f t="array" aca="1" ref="AR29" ca="1">_xlfn.LET( _xlpm.Rows, 2*(ROWS(AS$18:AS29)-1)+1,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MATCH(AY29,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29" s="48" t="str" cm="1">
        <f t="array" aca="1" ref="AS29" ca="1">_xlfn.LET( _xlpm.Rows, 2*(ROWS(AS$18:AS29)-1)+1,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MATCH(AY29,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29" s="204"/>
      <c r="AU29" s="204"/>
      <c r="AV29">
        <f>IFERROR(INDEX('N03-S04'!$AZ$88:$AZ$199,2*(ROWS(AV$18:AV29)-1)+1),"")</f>
        <v>0</v>
      </c>
      <c r="AW29" s="189"/>
      <c r="AX29" t="str">
        <f>IFERROR(INDEX(STDHVAC_N[Reporting Methodology],MATCH(C29,STDHVAC_N[Measure Number],0)),"")</f>
        <v/>
      </c>
      <c r="AY29" s="1" t="str">
        <f>IFERROR(INDEX(STDHVAC_N[Primary Key],MATCH(C29,STDHVAC_N[Measure Number],0)),"")</f>
        <v/>
      </c>
      <c r="AZ29" s="170"/>
      <c r="BA29" s="170"/>
      <c r="BB29" s="170"/>
      <c r="BC29" s="170"/>
      <c r="BD29" s="170"/>
      <c r="BE29" s="170"/>
      <c r="BF29" s="170"/>
      <c r="BG29" s="170"/>
      <c r="BH29" s="170"/>
      <c r="BI29" s="170"/>
      <c r="BJ29" s="170"/>
      <c r="BK29" s="170"/>
    </row>
    <row r="30" spans="1:63">
      <c r="A30" s="14">
        <f t="shared" si="5"/>
        <v>0</v>
      </c>
      <c r="B30" t="str">
        <f t="shared" si="6"/>
        <v/>
      </c>
      <c r="C30" t="str">
        <f>IFERROR(IF(V30&gt;0,INDEX('N03-S04'!$BI$18:$BI$199,2*(ROWS($C$18:C30)-1)+1),""),"")</f>
        <v/>
      </c>
      <c r="D30" t="s">
        <v>50</v>
      </c>
      <c r="E30" t="s">
        <v>38</v>
      </c>
      <c r="F30" t="s">
        <v>849</v>
      </c>
      <c r="G30" t="str">
        <f>IFERROR(INDEX('N03-S04'!$BE$18:$BE$199,2*(ROWS($G30:G30)-1)+1),"")</f>
        <v/>
      </c>
      <c r="H30" s="207"/>
      <c r="I30" s="207"/>
      <c r="J30" s="560">
        <f>IFERROR(ROUND(INDEX('N03-S04'!$AE$18:$AE$199,2*(ROWS(J$18:J30)-1)+1),2),"")</f>
        <v>0</v>
      </c>
      <c r="K30" s="560">
        <f>IFERROR(ROUND(INDEX('N03-S04'!$AG$18:$AG$199,2*(ROWS(K$18:K30)-1)+1),2),"")</f>
        <v>0</v>
      </c>
      <c r="L30" s="13">
        <f>IFERROR(ROUND(INDEX('N03-S04'!$AY$88:$AY$199,2*(ROWS(L$18:L30)-1)+1),2),"")</f>
        <v>0</v>
      </c>
      <c r="N30" s="13" t="str">
        <f>IFERROR(ROUND(INDEX('N03-S04'!$BS$18:$BS$199,2*(ROWS(N$18:N30)-1)+1),2),"")</f>
        <v/>
      </c>
      <c r="O30" s="207"/>
      <c r="P30" s="10">
        <f>IFERROR(ROUND(INDEX('N03-S04'!$V$18:$V$199,2*(ROWS(P$18:P30)-1)+1),3),"")</f>
        <v>0</v>
      </c>
      <c r="Q30" s="10">
        <f>IFERROR(ROUND(INDEX('N03-S04'!$V$18:$V$199,2*(ROWS(Q$18:Q30)-1)+1),3),"")</f>
        <v>0</v>
      </c>
      <c r="R30" s="25">
        <f>IFERROR(INDEX('N03-S04'!$BA$88:$BA$199,2*(ROWS(R$18:R30)-1)+1),"")</f>
        <v>0</v>
      </c>
      <c r="S30" s="25" t="str">
        <f>IFERROR(INDEX('N03-S04'!$BF$18:$BF$199,2*(ROWS(S$18:S30)-1)+1),"")</f>
        <v/>
      </c>
      <c r="T30" s="31">
        <f>IFERROR(INDEX('N03-S04'!$BB$88:$BB$199,2*(ROWS(T$18:T30)-1)+1),"")</f>
        <v>0</v>
      </c>
      <c r="U30" s="31" t="str">
        <f>IFERROR(INDEX('N03-S04'!$BG$18:$BG$199,2*(ROWS(U$18:U30)-1)+1),"")</f>
        <v/>
      </c>
      <c r="V30" s="560" t="str">
        <f>IFERROR(INDEX('N03-S04'!$AR$18:$AR$199,2*(ROWS(V$18:V30)-1)+1),"")</f>
        <v/>
      </c>
      <c r="W30" s="204"/>
      <c r="X30" s="204"/>
      <c r="Y30" s="204"/>
      <c r="Z30" s="189"/>
      <c r="AA30" s="189"/>
      <c r="AB30" s="189"/>
      <c r="AC30" s="215"/>
      <c r="AD30" s="215"/>
      <c r="AE30" s="207"/>
      <c r="AF30" s="207"/>
      <c r="AG30" s="216"/>
      <c r="AH30" s="216"/>
      <c r="AI30" s="189"/>
      <c r="AJ30" s="25">
        <f>IFERROR(INDEX('N03-S04'!$BC$18:$BC$199,2*(ROWS(AJ$18:AJ30)-1)+1),"")</f>
        <v>0</v>
      </c>
      <c r="AK30" s="25">
        <f>IFERROR(INDEX('N03-S04'!$BD$18:$BD$199,2*(ROWS(AK$18:AK30)-1)+1),"")</f>
        <v>0</v>
      </c>
      <c r="AL30" s="207"/>
      <c r="AM30" s="207"/>
      <c r="AN30" s="207"/>
      <c r="AO30">
        <f>IFERROR(INDEX('N03-S04'!$B$18:$B$199,2*(ROWS(AO$18:AO30)-1)+1),"")</f>
        <v>13</v>
      </c>
      <c r="AP30" s="189"/>
      <c r="AQ30">
        <f>IFERROR(INDEX('N03-S04'!$C$18:$C$199,2*(ROWS(AQ$18:AQ30)-1)+1),"")</f>
        <v>0</v>
      </c>
      <c r="AR30" t="str" cm="1">
        <f t="array" aca="1" ref="AR30" ca="1">_xlfn.LET( _xlpm.Rows, 2*(ROWS(AS$18:AS30)-1)+1,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MATCH(AY30,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30" s="48" t="str" cm="1">
        <f t="array" aca="1" ref="AS30" ca="1">_xlfn.LET( _xlpm.Rows, 2*(ROWS(AS$18:AS30)-1)+1,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MATCH(AY30,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30" s="204"/>
      <c r="AU30" s="204"/>
      <c r="AV30">
        <f>IFERROR(INDEX('N03-S04'!$AZ$88:$AZ$199,2*(ROWS(AV$18:AV30)-1)+1),"")</f>
        <v>0</v>
      </c>
      <c r="AW30" s="189"/>
      <c r="AX30" t="str">
        <f>IFERROR(INDEX(STDHVAC_N[Reporting Methodology],MATCH(C30,STDHVAC_N[Measure Number],0)),"")</f>
        <v/>
      </c>
      <c r="AY30" s="1" t="str">
        <f>IFERROR(INDEX(STDHVAC_N[Primary Key],MATCH(C30,STDHVAC_N[Measure Number],0)),"")</f>
        <v/>
      </c>
      <c r="AZ30" s="170"/>
      <c r="BA30" s="170"/>
      <c r="BB30" s="170"/>
      <c r="BC30" s="170"/>
      <c r="BD30" s="170"/>
      <c r="BE30" s="170"/>
      <c r="BF30" s="170"/>
      <c r="BG30" s="170"/>
      <c r="BH30" s="170"/>
      <c r="BI30" s="170"/>
      <c r="BJ30" s="170"/>
      <c r="BK30" s="170"/>
    </row>
    <row r="31" spans="1:63">
      <c r="A31" s="14">
        <f t="shared" si="5"/>
        <v>0</v>
      </c>
      <c r="B31" t="str">
        <f t="shared" si="6"/>
        <v/>
      </c>
      <c r="C31" t="str">
        <f>IFERROR(IF(V31&gt;0,INDEX('N03-S04'!$BI$18:$BI$199,2*(ROWS($C$18:C31)-1)+1),""),"")</f>
        <v/>
      </c>
      <c r="D31" t="s">
        <v>50</v>
      </c>
      <c r="E31" t="s">
        <v>38</v>
      </c>
      <c r="F31" t="s">
        <v>849</v>
      </c>
      <c r="G31" t="str">
        <f>IFERROR(INDEX('N03-S04'!$BE$18:$BE$199,2*(ROWS($G31:G31)-1)+1),"")</f>
        <v/>
      </c>
      <c r="H31" s="207"/>
      <c r="I31" s="207"/>
      <c r="J31" s="560">
        <f>IFERROR(ROUND(INDEX('N03-S04'!$AE$18:$AE$199,2*(ROWS(J$18:J31)-1)+1),2),"")</f>
        <v>0</v>
      </c>
      <c r="K31" s="560">
        <f>IFERROR(ROUND(INDEX('N03-S04'!$AG$18:$AG$199,2*(ROWS(K$18:K31)-1)+1),2),"")</f>
        <v>0</v>
      </c>
      <c r="L31" s="13">
        <f>IFERROR(ROUND(INDEX('N03-S04'!$AY$88:$AY$199,2*(ROWS(L$18:L31)-1)+1),2),"")</f>
        <v>0</v>
      </c>
      <c r="N31" s="13" t="str">
        <f>IFERROR(ROUND(INDEX('N03-S04'!$BS$18:$BS$199,2*(ROWS(N$18:N31)-1)+1),2),"")</f>
        <v/>
      </c>
      <c r="O31" s="207"/>
      <c r="P31" s="10">
        <f>IFERROR(ROUND(INDEX('N03-S04'!$V$18:$V$199,2*(ROWS(P$18:P31)-1)+1),3),"")</f>
        <v>0</v>
      </c>
      <c r="Q31" s="10">
        <f>IFERROR(ROUND(INDEX('N03-S04'!$V$18:$V$199,2*(ROWS(Q$18:Q31)-1)+1),3),"")</f>
        <v>0</v>
      </c>
      <c r="R31" s="25">
        <f>IFERROR(INDEX('N03-S04'!$BA$88:$BA$199,2*(ROWS(R$18:R31)-1)+1),"")</f>
        <v>0</v>
      </c>
      <c r="S31" s="25" t="str">
        <f>IFERROR(INDEX('N03-S04'!$BF$18:$BF$199,2*(ROWS(S$18:S31)-1)+1),"")</f>
        <v/>
      </c>
      <c r="T31" s="31">
        <f>IFERROR(INDEX('N03-S04'!$BB$88:$BB$199,2*(ROWS(T$18:T31)-1)+1),"")</f>
        <v>0</v>
      </c>
      <c r="U31" s="31" t="str">
        <f>IFERROR(INDEX('N03-S04'!$BG$18:$BG$199,2*(ROWS(U$18:U31)-1)+1),"")</f>
        <v/>
      </c>
      <c r="V31" s="560" t="str">
        <f>IFERROR(INDEX('N03-S04'!$AR$18:$AR$199,2*(ROWS(V$18:V31)-1)+1),"")</f>
        <v/>
      </c>
      <c r="W31" s="204"/>
      <c r="X31" s="204"/>
      <c r="Y31" s="204"/>
      <c r="Z31" s="189"/>
      <c r="AA31" s="189"/>
      <c r="AB31" s="189"/>
      <c r="AC31" s="215"/>
      <c r="AD31" s="215"/>
      <c r="AE31" s="207"/>
      <c r="AF31" s="207"/>
      <c r="AG31" s="216"/>
      <c r="AH31" s="216"/>
      <c r="AI31" s="189"/>
      <c r="AJ31" s="25">
        <f>IFERROR(INDEX('N03-S04'!$BC$18:$BC$199,2*(ROWS(AJ$18:AJ31)-1)+1),"")</f>
        <v>0</v>
      </c>
      <c r="AK31" s="25">
        <f>IFERROR(INDEX('N03-S04'!$BD$18:$BD$199,2*(ROWS(AK$18:AK31)-1)+1),"")</f>
        <v>0</v>
      </c>
      <c r="AL31" s="207"/>
      <c r="AM31" s="207"/>
      <c r="AN31" s="207"/>
      <c r="AO31">
        <f>IFERROR(INDEX('N03-S04'!$B$18:$B$199,2*(ROWS(AO$18:AO31)-1)+1),"")</f>
        <v>14</v>
      </c>
      <c r="AP31" s="189"/>
      <c r="AQ31">
        <f>IFERROR(INDEX('N03-S04'!$C$18:$C$199,2*(ROWS(AQ$18:AQ31)-1)+1),"")</f>
        <v>0</v>
      </c>
      <c r="AR31" t="str" cm="1">
        <f t="array" aca="1" ref="AR31" ca="1">_xlfn.LET( _xlpm.Rows, 2*(ROWS(AS$18:AS31)-1)+1,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MATCH(AY31,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31" s="48" t="str" cm="1">
        <f t="array" aca="1" ref="AS31" ca="1">_xlfn.LET( _xlpm.Rows, 2*(ROWS(AS$18:AS31)-1)+1,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MATCH(AY31,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31" s="204"/>
      <c r="AU31" s="204"/>
      <c r="AV31">
        <f>IFERROR(INDEX('N03-S04'!$AZ$88:$AZ$199,2*(ROWS(AV$18:AV31)-1)+1),"")</f>
        <v>0</v>
      </c>
      <c r="AW31" s="189"/>
      <c r="AX31" t="str">
        <f>IFERROR(INDEX(STDHVAC_N[Reporting Methodology],MATCH(C31,STDHVAC_N[Measure Number],0)),"")</f>
        <v/>
      </c>
      <c r="AY31" s="1" t="str">
        <f>IFERROR(INDEX(STDHVAC_N[Primary Key],MATCH(C31,STDHVAC_N[Measure Number],0)),"")</f>
        <v/>
      </c>
      <c r="AZ31" s="170"/>
      <c r="BA31" s="170"/>
      <c r="BB31" s="170"/>
      <c r="BC31" s="170"/>
      <c r="BD31" s="170"/>
      <c r="BE31" s="170"/>
      <c r="BF31" s="170"/>
      <c r="BG31" s="170"/>
      <c r="BH31" s="170"/>
      <c r="BI31" s="170"/>
      <c r="BJ31" s="170"/>
      <c r="BK31" s="170"/>
    </row>
    <row r="32" spans="1:63">
      <c r="A32" s="14">
        <f t="shared" si="5"/>
        <v>0</v>
      </c>
      <c r="B32" t="str">
        <f t="shared" si="6"/>
        <v/>
      </c>
      <c r="C32" t="str">
        <f>IFERROR(IF(V32&gt;0,INDEX('N03-S04'!$BI$18:$BI$199,2*(ROWS($C$18:C32)-1)+1),""),"")</f>
        <v/>
      </c>
      <c r="D32" t="s">
        <v>50</v>
      </c>
      <c r="E32" t="s">
        <v>38</v>
      </c>
      <c r="F32" t="s">
        <v>849</v>
      </c>
      <c r="G32" t="str">
        <f>IFERROR(INDEX('N03-S04'!$BE$18:$BE$199,2*(ROWS($G32:G32)-1)+1),"")</f>
        <v/>
      </c>
      <c r="H32" s="207"/>
      <c r="I32" s="207"/>
      <c r="J32" s="560">
        <f>IFERROR(ROUND(INDEX('N03-S04'!$AE$18:$AE$199,2*(ROWS(J$18:J32)-1)+1),2),"")</f>
        <v>0</v>
      </c>
      <c r="K32" s="560">
        <f>IFERROR(ROUND(INDEX('N03-S04'!$AG$18:$AG$199,2*(ROWS(K$18:K32)-1)+1),2),"")</f>
        <v>0</v>
      </c>
      <c r="L32" s="13">
        <f>IFERROR(ROUND(INDEX('N03-S04'!$AY$88:$AY$199,2*(ROWS(L$18:L32)-1)+1),2),"")</f>
        <v>0</v>
      </c>
      <c r="N32" s="13" t="str">
        <f>IFERROR(ROUND(INDEX('N03-S04'!$BS$18:$BS$199,2*(ROWS(N$18:N32)-1)+1),2),"")</f>
        <v/>
      </c>
      <c r="O32" s="207"/>
      <c r="P32" s="10">
        <f>IFERROR(ROUND(INDEX('N03-S04'!$V$18:$V$199,2*(ROWS(P$18:P32)-1)+1),3),"")</f>
        <v>0</v>
      </c>
      <c r="Q32" s="10">
        <f>IFERROR(ROUND(INDEX('N03-S04'!$V$18:$V$199,2*(ROWS(Q$18:Q32)-1)+1),3),"")</f>
        <v>0</v>
      </c>
      <c r="R32" s="25">
        <f>IFERROR(INDEX('N03-S04'!$BA$88:$BA$199,2*(ROWS(R$18:R32)-1)+1),"")</f>
        <v>0</v>
      </c>
      <c r="S32" s="25" t="str">
        <f>IFERROR(INDEX('N03-S04'!$BF$18:$BF$199,2*(ROWS(S$18:S32)-1)+1),"")</f>
        <v/>
      </c>
      <c r="T32" s="31">
        <f>IFERROR(INDEX('N03-S04'!$BB$88:$BB$199,2*(ROWS(T$18:T32)-1)+1),"")</f>
        <v>0</v>
      </c>
      <c r="U32" s="31" t="str">
        <f>IFERROR(INDEX('N03-S04'!$BG$18:$BG$199,2*(ROWS(U$18:U32)-1)+1),"")</f>
        <v/>
      </c>
      <c r="V32" s="560" t="str">
        <f>IFERROR(INDEX('N03-S04'!$AR$18:$AR$199,2*(ROWS(V$18:V32)-1)+1),"")</f>
        <v/>
      </c>
      <c r="W32" s="204"/>
      <c r="X32" s="204"/>
      <c r="Y32" s="204"/>
      <c r="Z32" s="189"/>
      <c r="AA32" s="189"/>
      <c r="AB32" s="189"/>
      <c r="AC32" s="215"/>
      <c r="AD32" s="215"/>
      <c r="AE32" s="207"/>
      <c r="AF32" s="207"/>
      <c r="AG32" s="216"/>
      <c r="AH32" s="216"/>
      <c r="AI32" s="189"/>
      <c r="AJ32" s="25">
        <f>IFERROR(INDEX('N03-S04'!$BC$18:$BC$199,2*(ROWS(AJ$18:AJ32)-1)+1),"")</f>
        <v>0</v>
      </c>
      <c r="AK32" s="25">
        <f>IFERROR(INDEX('N03-S04'!$BD$18:$BD$199,2*(ROWS(AK$18:AK32)-1)+1),"")</f>
        <v>0</v>
      </c>
      <c r="AL32" s="207"/>
      <c r="AM32" s="207"/>
      <c r="AN32" s="207"/>
      <c r="AO32">
        <f>IFERROR(INDEX('N03-S04'!$B$18:$B$199,2*(ROWS(AO$18:AO32)-1)+1),"")</f>
        <v>15</v>
      </c>
      <c r="AP32" s="189"/>
      <c r="AQ32">
        <f>IFERROR(INDEX('N03-S04'!$C$18:$C$199,2*(ROWS(AQ$18:AQ32)-1)+1),"")</f>
        <v>0</v>
      </c>
      <c r="AR32" t="str" cm="1">
        <f t="array" aca="1" ref="AR32" ca="1">_xlfn.LET( _xlpm.Rows, 2*(ROWS(AS$18:AS32)-1)+1,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MATCH(AY32,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32" s="48" t="str" cm="1">
        <f t="array" aca="1" ref="AS32" ca="1">_xlfn.LET( _xlpm.Rows, 2*(ROWS(AS$18:AS32)-1)+1,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MATCH(AY32,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32" s="204"/>
      <c r="AU32" s="204"/>
      <c r="AV32">
        <f>IFERROR(INDEX('N03-S04'!$AZ$88:$AZ$199,2*(ROWS(AV$18:AV32)-1)+1),"")</f>
        <v>0</v>
      </c>
      <c r="AW32" s="189"/>
      <c r="AX32" t="str">
        <f>IFERROR(INDEX(STDHVAC_N[Reporting Methodology],MATCH(C32,STDHVAC_N[Measure Number],0)),"")</f>
        <v/>
      </c>
      <c r="AY32" s="1" t="str">
        <f>IFERROR(INDEX(STDHVAC_N[Primary Key],MATCH(C32,STDHVAC_N[Measure Number],0)),"")</f>
        <v/>
      </c>
      <c r="AZ32" s="170"/>
      <c r="BA32" s="170"/>
      <c r="BB32" s="170"/>
      <c r="BC32" s="170"/>
      <c r="BD32" s="170"/>
      <c r="BE32" s="170"/>
      <c r="BF32" s="170"/>
      <c r="BG32" s="170"/>
      <c r="BH32" s="170"/>
      <c r="BI32" s="170"/>
      <c r="BJ32" s="170"/>
      <c r="BK32" s="170"/>
    </row>
    <row r="33" spans="1:63">
      <c r="A33" s="14">
        <f t="shared" si="5"/>
        <v>0</v>
      </c>
      <c r="B33" t="str">
        <f t="shared" si="6"/>
        <v/>
      </c>
      <c r="C33" t="str">
        <f>IFERROR(IF(V33&gt;0,INDEX('N03-S04'!$BI$18:$BI$199,2*(ROWS($C$18:C33)-1)+1),""),"")</f>
        <v/>
      </c>
      <c r="D33" t="s">
        <v>50</v>
      </c>
      <c r="E33" t="s">
        <v>38</v>
      </c>
      <c r="F33" t="s">
        <v>849</v>
      </c>
      <c r="G33" t="str">
        <f>IFERROR(INDEX('N03-S04'!$BE$18:$BE$199,2*(ROWS($G33:G33)-1)+1),"")</f>
        <v/>
      </c>
      <c r="H33" s="207"/>
      <c r="I33" s="207"/>
      <c r="J33" s="560">
        <f>IFERROR(ROUND(INDEX('N03-S04'!$AE$18:$AE$199,2*(ROWS(J$18:J33)-1)+1),2),"")</f>
        <v>0</v>
      </c>
      <c r="K33" s="560">
        <f>IFERROR(ROUND(INDEX('N03-S04'!$AG$18:$AG$199,2*(ROWS(K$18:K33)-1)+1),2),"")</f>
        <v>0</v>
      </c>
      <c r="L33" s="13">
        <f>IFERROR(ROUND(INDEX('N03-S04'!$AY$88:$AY$199,2*(ROWS(L$18:L33)-1)+1),2),"")</f>
        <v>0</v>
      </c>
      <c r="N33" s="13" t="str">
        <f>IFERROR(ROUND(INDEX('N03-S04'!$BS$18:$BS$199,2*(ROWS(N$18:N33)-1)+1),2),"")</f>
        <v/>
      </c>
      <c r="O33" s="207"/>
      <c r="P33" s="10">
        <f>IFERROR(ROUND(INDEX('N03-S04'!$V$18:$V$199,2*(ROWS(P$18:P33)-1)+1),3),"")</f>
        <v>0</v>
      </c>
      <c r="Q33" s="10">
        <f>IFERROR(ROUND(INDEX('N03-S04'!$V$18:$V$199,2*(ROWS(Q$18:Q33)-1)+1),3),"")</f>
        <v>0</v>
      </c>
      <c r="R33" s="25"/>
      <c r="S33" s="25"/>
      <c r="T33" s="31"/>
      <c r="U33" s="31"/>
      <c r="V33" s="560" t="str">
        <f>IFERROR(INDEX('N03-S04'!$AR$18:$AR$199,2*(ROWS(V$18:V33)-1)+1),"")</f>
        <v/>
      </c>
      <c r="W33" s="204"/>
      <c r="X33" s="204"/>
      <c r="Y33" s="204"/>
      <c r="Z33" s="189"/>
      <c r="AA33" s="189"/>
      <c r="AB33" s="189"/>
      <c r="AC33" s="215"/>
      <c r="AD33" s="215"/>
      <c r="AE33" s="207"/>
      <c r="AF33" s="207"/>
      <c r="AG33" s="216"/>
      <c r="AH33" s="216"/>
      <c r="AI33" s="189"/>
      <c r="AJ33" s="25">
        <f>IFERROR(INDEX('N03-S04'!$BC$18:$BC$199,2*(ROWS(AJ$18:AJ33)-1)+1),"")</f>
        <v>0</v>
      </c>
      <c r="AK33" s="25">
        <f>IFERROR(INDEX('N03-S04'!$BD$18:$BD$199,2*(ROWS(AK$18:AK33)-1)+1),"")</f>
        <v>0</v>
      </c>
      <c r="AL33" s="207"/>
      <c r="AM33" s="207"/>
      <c r="AN33" s="207"/>
      <c r="AO33">
        <f>IFERROR(INDEX('N03-S04'!$B$18:$B$199,2*(ROWS(AO$18:AO33)-1)+1),"")</f>
        <v>16</v>
      </c>
      <c r="AP33" s="189"/>
      <c r="AQ33">
        <f>IFERROR(INDEX('N03-S04'!$C$18:$C$199,2*(ROWS(AQ$18:AQ33)-1)+1),"")</f>
        <v>0</v>
      </c>
      <c r="AR33" t="str" cm="1">
        <f t="array" aca="1" ref="AR33" ca="1">_xlfn.LET( _xlpm.Rows, 2*(ROWS(AS$18:AS33)-1)+1,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MATCH(AY33,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33" s="48" t="str" cm="1">
        <f t="array" aca="1" ref="AS33" ca="1">_xlfn.LET( _xlpm.Rows, 2*(ROWS(AS$18:AS33)-1)+1,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MATCH(AY33,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33" s="204"/>
      <c r="AU33" s="204"/>
      <c r="AV33">
        <f>IFERROR(INDEX('N03-S04'!$AZ$88:$AZ$199,2*(ROWS(AV$18:AV33)-1)+1),"")</f>
        <v>0</v>
      </c>
      <c r="AW33" s="189"/>
      <c r="AX33" t="str">
        <f>IFERROR(INDEX(STDHVAC_N[Reporting Methodology],MATCH(C33,STDHVAC_N[Measure Number],0)),"")</f>
        <v/>
      </c>
      <c r="AY33" s="1" t="str">
        <f>IFERROR(INDEX(STDHVAC_N[Primary Key],MATCH(C33,STDHVAC_N[Measure Number],0)),"")</f>
        <v/>
      </c>
      <c r="AZ33" s="170"/>
      <c r="BA33" s="170"/>
      <c r="BB33" s="170"/>
      <c r="BC33" s="170"/>
      <c r="BD33" s="170"/>
      <c r="BE33" s="170"/>
      <c r="BF33" s="170"/>
      <c r="BG33" s="170"/>
      <c r="BH33" s="170"/>
      <c r="BI33" s="170"/>
      <c r="BJ33" s="170"/>
      <c r="BK33" s="170"/>
    </row>
    <row r="34" spans="1:63">
      <c r="A34" s="14">
        <f t="shared" si="5"/>
        <v>0</v>
      </c>
      <c r="B34" t="str">
        <f t="shared" ref="B34:B52" si="7">IF(C34="","",CONCATENATE(ROW(),"-",C34))</f>
        <v/>
      </c>
      <c r="C34" t="str">
        <f>IFERROR(IF(V34&gt;0,INDEX('N03-S04'!$BI$18:$BI$199,2*(ROWS($C$18:C34)-1)+1),""),"")</f>
        <v/>
      </c>
      <c r="D34" t="s">
        <v>50</v>
      </c>
      <c r="E34" t="s">
        <v>38</v>
      </c>
      <c r="F34" t="s">
        <v>849</v>
      </c>
      <c r="G34" t="str">
        <f>IFERROR(INDEX('N03-S04'!$BE$18:$BE$199,2*(ROWS($G34:G34)-1)+1),"")</f>
        <v/>
      </c>
      <c r="H34" s="207"/>
      <c r="I34" s="207"/>
      <c r="J34" s="560">
        <f>IFERROR(ROUND(INDEX('N03-S04'!$AE$18:$AE$199,2*(ROWS(J$18:J34)-1)+1),2),"")</f>
        <v>0</v>
      </c>
      <c r="K34" s="560">
        <f>IFERROR(ROUND(INDEX('N03-S04'!$AG$18:$AG$199,2*(ROWS(K$18:K34)-1)+1),2),"")</f>
        <v>0</v>
      </c>
      <c r="L34" s="13">
        <f>IFERROR(ROUND(INDEX('N03-S04'!$AY$88:$AY$199,2*(ROWS(L$18:L34)-1)+1),2),"")</f>
        <v>0</v>
      </c>
      <c r="N34" s="13" t="str">
        <f>IFERROR(ROUND(INDEX('N03-S04'!$BS$18:$BS$199,2*(ROWS(N$18:N34)-1)+1),2),"")</f>
        <v/>
      </c>
      <c r="O34" s="207"/>
      <c r="P34" s="10">
        <f>IFERROR(ROUND(INDEX('N03-S04'!$V$18:$V$199,2*(ROWS(P$18:P34)-1)+1),3),"")</f>
        <v>0</v>
      </c>
      <c r="Q34" s="10">
        <f>IFERROR(ROUND(INDEX('N03-S04'!$V$18:$V$199,2*(ROWS(Q$18:Q34)-1)+1),3),"")</f>
        <v>0</v>
      </c>
      <c r="R34" s="25"/>
      <c r="S34" s="25"/>
      <c r="T34" s="31"/>
      <c r="U34" s="31"/>
      <c r="V34" s="560" t="str">
        <f>IFERROR(INDEX('N03-S04'!$AR$18:$AR$199,2*(ROWS(V$18:V34)-1)+1),"")</f>
        <v/>
      </c>
      <c r="W34" s="204"/>
      <c r="X34" s="204"/>
      <c r="Y34" s="204"/>
      <c r="Z34" s="189"/>
      <c r="AA34" s="189"/>
      <c r="AB34" s="189"/>
      <c r="AC34" s="215"/>
      <c r="AD34" s="215"/>
      <c r="AE34" s="207"/>
      <c r="AF34" s="207"/>
      <c r="AG34" s="216"/>
      <c r="AH34" s="216"/>
      <c r="AI34" s="189"/>
      <c r="AJ34" s="25">
        <f>IFERROR(INDEX('N03-S04'!$BC$18:$BC$199,2*(ROWS(AJ$18:AJ34)-1)+1),"")</f>
        <v>0</v>
      </c>
      <c r="AK34" s="25">
        <f>IFERROR(INDEX('N03-S04'!$BD$18:$BD$199,2*(ROWS(AK$18:AK34)-1)+1),"")</f>
        <v>0</v>
      </c>
      <c r="AL34" s="207"/>
      <c r="AM34" s="207"/>
      <c r="AN34" s="207"/>
      <c r="AO34">
        <f>IFERROR(INDEX('N03-S04'!$B$18:$B$199,2*(ROWS(AO$18:AO34)-1)+1),"")</f>
        <v>17</v>
      </c>
      <c r="AP34" s="189"/>
      <c r="AQ34">
        <f>IFERROR(INDEX('N03-S04'!$C$18:$C$199,2*(ROWS(AQ$18:AQ34)-1)+1),"")</f>
        <v>0</v>
      </c>
      <c r="AR34" t="str" cm="1">
        <f t="array" aca="1" ref="AR34" ca="1">_xlfn.LET( _xlpm.Rows, 2*(ROWS(AS$18:AS34)-1)+1,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MATCH(AY34,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34" s="48" t="str" cm="1">
        <f t="array" aca="1" ref="AS34" ca="1">_xlfn.LET( _xlpm.Rows, 2*(ROWS(AS$18:AS34)-1)+1,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MATCH(AY34,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34" s="204"/>
      <c r="AU34" s="204"/>
      <c r="AV34">
        <f>IFERROR(INDEX('N03-S04'!$AZ$88:$AZ$199,2*(ROWS(AV$18:AV34)-1)+1),"")</f>
        <v>0</v>
      </c>
      <c r="AW34" s="189"/>
      <c r="AX34" t="str">
        <f>IFERROR(INDEX(STDHVAC_N[Reporting Methodology],MATCH(C34,STDHVAC_N[Measure Number],0)),"")</f>
        <v/>
      </c>
      <c r="AY34" s="1" t="str">
        <f>IFERROR(INDEX(STDHVAC_N[Primary Key],MATCH(C34,STDHVAC_N[Measure Number],0)),"")</f>
        <v/>
      </c>
      <c r="AZ34" s="170"/>
      <c r="BA34" s="170"/>
      <c r="BB34" s="170"/>
      <c r="BC34" s="170"/>
      <c r="BD34" s="170"/>
      <c r="BE34" s="170"/>
      <c r="BF34" s="170"/>
      <c r="BG34" s="170"/>
      <c r="BH34" s="170"/>
      <c r="BI34" s="170"/>
      <c r="BJ34" s="170"/>
      <c r="BK34" s="170"/>
    </row>
    <row r="35" spans="1:63">
      <c r="A35" s="14">
        <f t="shared" si="5"/>
        <v>0</v>
      </c>
      <c r="B35" t="str">
        <f t="shared" si="7"/>
        <v/>
      </c>
      <c r="C35" t="str">
        <f>IFERROR(IF(V35&gt;0,INDEX('N03-S04'!$BI$18:$BI$199,2*(ROWS($C$18:C35)-1)+1),""),"")</f>
        <v/>
      </c>
      <c r="D35" t="s">
        <v>50</v>
      </c>
      <c r="E35" t="s">
        <v>38</v>
      </c>
      <c r="F35" t="s">
        <v>849</v>
      </c>
      <c r="G35" t="str">
        <f>IFERROR(INDEX('N03-S04'!$BE$18:$BE$199,2*(ROWS($G35:G35)-1)+1),"")</f>
        <v/>
      </c>
      <c r="H35" s="207"/>
      <c r="I35" s="207"/>
      <c r="J35" s="560">
        <f>IFERROR(ROUND(INDEX('N03-S04'!$AE$18:$AE$199,2*(ROWS(J$18:J35)-1)+1),2),"")</f>
        <v>0</v>
      </c>
      <c r="K35" s="560">
        <f>IFERROR(ROUND(INDEX('N03-S04'!$AG$18:$AG$199,2*(ROWS(K$18:K35)-1)+1),2),"")</f>
        <v>0</v>
      </c>
      <c r="L35" s="13">
        <f>IFERROR(ROUND(INDEX('N03-S04'!$AY$88:$AY$199,2*(ROWS(L$18:L35)-1)+1),2),"")</f>
        <v>0</v>
      </c>
      <c r="N35" s="13" t="str">
        <f>IFERROR(ROUND(INDEX('N03-S04'!$BS$18:$BS$199,2*(ROWS(N$18:N35)-1)+1),2),"")</f>
        <v/>
      </c>
      <c r="O35" s="207"/>
      <c r="P35" s="10">
        <f>IFERROR(ROUND(INDEX('N03-S04'!$V$18:$V$199,2*(ROWS(P$18:P35)-1)+1),3),"")</f>
        <v>0</v>
      </c>
      <c r="Q35" s="10">
        <f>IFERROR(ROUND(INDEX('N03-S04'!$V$18:$V$199,2*(ROWS(Q$18:Q35)-1)+1),3),"")</f>
        <v>0</v>
      </c>
      <c r="R35" s="25"/>
      <c r="S35" s="25"/>
      <c r="T35" s="31"/>
      <c r="U35" s="31"/>
      <c r="V35" s="560" t="str">
        <f>IFERROR(INDEX('N03-S04'!$AR$18:$AR$199,2*(ROWS(V$18:V35)-1)+1),"")</f>
        <v/>
      </c>
      <c r="W35" s="204"/>
      <c r="X35" s="204"/>
      <c r="Y35" s="204"/>
      <c r="Z35" s="189"/>
      <c r="AA35" s="189"/>
      <c r="AB35" s="189"/>
      <c r="AC35" s="215"/>
      <c r="AD35" s="215"/>
      <c r="AE35" s="207"/>
      <c r="AF35" s="207"/>
      <c r="AG35" s="216"/>
      <c r="AH35" s="216"/>
      <c r="AI35" s="189"/>
      <c r="AJ35" s="25">
        <f>IFERROR(INDEX('N03-S04'!$BC$18:$BC$199,2*(ROWS(AJ$18:AJ35)-1)+1),"")</f>
        <v>0</v>
      </c>
      <c r="AK35" s="25">
        <f>IFERROR(INDEX('N03-S04'!$BD$18:$BD$199,2*(ROWS(AK$18:AK35)-1)+1),"")</f>
        <v>0</v>
      </c>
      <c r="AL35" s="207"/>
      <c r="AM35" s="207"/>
      <c r="AN35" s="207"/>
      <c r="AO35">
        <f>IFERROR(INDEX('N03-S04'!$B$18:$B$199,2*(ROWS(AO$18:AO35)-1)+1),"")</f>
        <v>18</v>
      </c>
      <c r="AP35" s="189"/>
      <c r="AQ35">
        <f>IFERROR(INDEX('N03-S04'!$C$18:$C$199,2*(ROWS(AQ$18:AQ35)-1)+1),"")</f>
        <v>0</v>
      </c>
      <c r="AR35" t="str" cm="1">
        <f t="array" aca="1" ref="AR35" ca="1">_xlfn.LET( _xlpm.Rows, 2*(ROWS(AS$18:AS35)-1)+1,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MATCH(AY35,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35" s="48" t="str" cm="1">
        <f t="array" aca="1" ref="AS35" ca="1">_xlfn.LET( _xlpm.Rows, 2*(ROWS(AS$18:AS35)-1)+1,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MATCH(AY35,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35" s="204"/>
      <c r="AU35" s="204"/>
      <c r="AV35">
        <f>IFERROR(INDEX('N03-S04'!$AZ$88:$AZ$199,2*(ROWS(AV$18:AV35)-1)+1),"")</f>
        <v>0</v>
      </c>
      <c r="AW35" s="189"/>
      <c r="AX35" t="str">
        <f>IFERROR(INDEX(STDHVAC_N[Reporting Methodology],MATCH(C35,STDHVAC_N[Measure Number],0)),"")</f>
        <v/>
      </c>
      <c r="AY35" s="1" t="str">
        <f>IFERROR(INDEX(STDHVAC_N[Primary Key],MATCH(C35,STDHVAC_N[Measure Number],0)),"")</f>
        <v/>
      </c>
      <c r="AZ35" s="170"/>
      <c r="BA35" s="170"/>
      <c r="BB35" s="170"/>
      <c r="BC35" s="170"/>
      <c r="BD35" s="170"/>
      <c r="BE35" s="170"/>
      <c r="BF35" s="170"/>
      <c r="BG35" s="170"/>
      <c r="BH35" s="170"/>
      <c r="BI35" s="170"/>
      <c r="BJ35" s="170"/>
      <c r="BK35" s="170"/>
    </row>
    <row r="36" spans="1:63">
      <c r="A36" s="14">
        <f t="shared" si="5"/>
        <v>0</v>
      </c>
      <c r="B36" t="str">
        <f t="shared" si="7"/>
        <v/>
      </c>
      <c r="C36" t="str">
        <f>IFERROR(IF(V36&gt;0,INDEX('N03-S04'!$BI$18:$BI$199,2*(ROWS($C$18:C36)-1)+1),""),"")</f>
        <v/>
      </c>
      <c r="D36" t="s">
        <v>50</v>
      </c>
      <c r="E36" t="s">
        <v>38</v>
      </c>
      <c r="F36" t="s">
        <v>849</v>
      </c>
      <c r="G36" t="str">
        <f>IFERROR(INDEX('N03-S04'!$BE$18:$BE$199,2*(ROWS($G36:G36)-1)+1),"")</f>
        <v/>
      </c>
      <c r="H36" s="207"/>
      <c r="I36" s="207"/>
      <c r="J36" s="560">
        <f>IFERROR(ROUND(INDEX('N03-S04'!$AE$18:$AE$199,2*(ROWS(J$18:J36)-1)+1),2),"")</f>
        <v>0</v>
      </c>
      <c r="K36" s="560">
        <f>IFERROR(ROUND(INDEX('N03-S04'!$AG$18:$AG$199,2*(ROWS(K$18:K36)-1)+1),2),"")</f>
        <v>0</v>
      </c>
      <c r="L36" s="13">
        <f>IFERROR(ROUND(INDEX('N03-S04'!$AY$88:$AY$199,2*(ROWS(L$18:L36)-1)+1),2),"")</f>
        <v>0</v>
      </c>
      <c r="N36" s="13" t="str">
        <f>IFERROR(ROUND(INDEX('N03-S04'!$BS$18:$BS$199,2*(ROWS(N$18:N36)-1)+1),2),"")</f>
        <v/>
      </c>
      <c r="O36" s="207"/>
      <c r="P36" s="10">
        <f>IFERROR(ROUND(INDEX('N03-S04'!$V$18:$V$199,2*(ROWS(P$18:P36)-1)+1),3),"")</f>
        <v>0</v>
      </c>
      <c r="Q36" s="10">
        <f>IFERROR(ROUND(INDEX('N03-S04'!$V$18:$V$199,2*(ROWS(Q$18:Q36)-1)+1),3),"")</f>
        <v>0</v>
      </c>
      <c r="R36" s="25"/>
      <c r="S36" s="25"/>
      <c r="T36" s="31"/>
      <c r="U36" s="31"/>
      <c r="V36" s="560" t="str">
        <f>IFERROR(INDEX('N03-S04'!$AR$18:$AR$199,2*(ROWS(V$18:V36)-1)+1),"")</f>
        <v/>
      </c>
      <c r="W36" s="204"/>
      <c r="X36" s="204"/>
      <c r="Y36" s="204"/>
      <c r="Z36" s="189"/>
      <c r="AA36" s="189"/>
      <c r="AB36" s="189"/>
      <c r="AC36" s="215"/>
      <c r="AD36" s="215"/>
      <c r="AE36" s="207"/>
      <c r="AF36" s="207"/>
      <c r="AG36" s="216"/>
      <c r="AH36" s="216"/>
      <c r="AI36" s="189"/>
      <c r="AJ36" s="25">
        <f>IFERROR(INDEX('N03-S04'!$BC$18:$BC$199,2*(ROWS(AJ$18:AJ36)-1)+1),"")</f>
        <v>0</v>
      </c>
      <c r="AK36" s="25">
        <f>IFERROR(INDEX('N03-S04'!$BD$18:$BD$199,2*(ROWS(AK$18:AK36)-1)+1),"")</f>
        <v>0</v>
      </c>
      <c r="AL36" s="207"/>
      <c r="AM36" s="207"/>
      <c r="AN36" s="207"/>
      <c r="AO36">
        <f>IFERROR(INDEX('N03-S04'!$B$18:$B$199,2*(ROWS(AO$18:AO36)-1)+1),"")</f>
        <v>19</v>
      </c>
      <c r="AP36" s="189"/>
      <c r="AQ36">
        <f>IFERROR(INDEX('N03-S04'!$C$18:$C$199,2*(ROWS(AQ$18:AQ36)-1)+1),"")</f>
        <v>0</v>
      </c>
      <c r="AR36" t="str" cm="1">
        <f t="array" aca="1" ref="AR36" ca="1">_xlfn.LET( _xlpm.Rows, 2*(ROWS(AS$18:AS36)-1)+1,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MATCH(AY36,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36" s="48" t="str" cm="1">
        <f t="array" aca="1" ref="AS36" ca="1">_xlfn.LET( _xlpm.Rows, 2*(ROWS(AS$18:AS36)-1)+1,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MATCH(AY36,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36" s="204"/>
      <c r="AU36" s="204"/>
      <c r="AV36">
        <f>IFERROR(INDEX('N03-S04'!$AZ$88:$AZ$199,2*(ROWS(AV$18:AV36)-1)+1),"")</f>
        <v>0</v>
      </c>
      <c r="AW36" s="189"/>
      <c r="AX36" t="str">
        <f>IFERROR(INDEX(STDHVAC_N[Reporting Methodology],MATCH(C36,STDHVAC_N[Measure Number],0)),"")</f>
        <v/>
      </c>
      <c r="AY36" s="1" t="str">
        <f>IFERROR(INDEX(STDHVAC_N[Primary Key],MATCH(C36,STDHVAC_N[Measure Number],0)),"")</f>
        <v/>
      </c>
      <c r="AZ36" s="170"/>
      <c r="BA36" s="170"/>
      <c r="BB36" s="170"/>
      <c r="BC36" s="170"/>
      <c r="BD36" s="170"/>
      <c r="BE36" s="170"/>
      <c r="BF36" s="170"/>
      <c r="BG36" s="170"/>
      <c r="BH36" s="170"/>
      <c r="BI36" s="170"/>
      <c r="BJ36" s="170"/>
      <c r="BK36" s="170"/>
    </row>
    <row r="37" spans="1:63">
      <c r="A37" s="14">
        <f t="shared" si="5"/>
        <v>0</v>
      </c>
      <c r="B37" t="str">
        <f t="shared" si="7"/>
        <v/>
      </c>
      <c r="C37" t="str">
        <f>IFERROR(IF(V37&gt;0,INDEX('N03-S04'!$BI$18:$BI$199,2*(ROWS($C$18:C37)-1)+1),""),"")</f>
        <v/>
      </c>
      <c r="D37" t="s">
        <v>50</v>
      </c>
      <c r="E37" t="s">
        <v>38</v>
      </c>
      <c r="F37" t="s">
        <v>849</v>
      </c>
      <c r="G37" t="str">
        <f>IFERROR(INDEX('N03-S04'!$BE$18:$BE$199,2*(ROWS($G37:G37)-1)+1),"")</f>
        <v/>
      </c>
      <c r="H37" s="207"/>
      <c r="I37" s="207"/>
      <c r="J37" s="560">
        <f>IFERROR(ROUND(INDEX('N03-S04'!$AE$18:$AE$199,2*(ROWS(J$18:J37)-1)+1),2),"")</f>
        <v>0</v>
      </c>
      <c r="K37" s="560">
        <f>IFERROR(ROUND(INDEX('N03-S04'!$AG$18:$AG$199,2*(ROWS(K$18:K37)-1)+1),2),"")</f>
        <v>0</v>
      </c>
      <c r="L37" s="13">
        <f>IFERROR(ROUND(INDEX('N03-S04'!$AY$88:$AY$199,2*(ROWS(L$18:L37)-1)+1),2),"")</f>
        <v>0</v>
      </c>
      <c r="N37" s="13" t="str">
        <f>IFERROR(ROUND(INDEX('N03-S04'!$BS$18:$BS$199,2*(ROWS(N$18:N37)-1)+1),2),"")</f>
        <v/>
      </c>
      <c r="O37" s="207"/>
      <c r="P37" s="10">
        <f>IFERROR(ROUND(INDEX('N03-S04'!$V$18:$V$199,2*(ROWS(P$18:P37)-1)+1),3),"")</f>
        <v>0</v>
      </c>
      <c r="Q37" s="10">
        <f>IFERROR(ROUND(INDEX('N03-S04'!$V$18:$V$199,2*(ROWS(Q$18:Q37)-1)+1),3),"")</f>
        <v>0</v>
      </c>
      <c r="R37" s="25"/>
      <c r="S37" s="25"/>
      <c r="T37" s="31"/>
      <c r="U37" s="31"/>
      <c r="V37" s="560" t="str">
        <f>IFERROR(INDEX('N03-S04'!$AR$18:$AR$199,2*(ROWS(V$18:V37)-1)+1),"")</f>
        <v/>
      </c>
      <c r="W37" s="204"/>
      <c r="X37" s="204"/>
      <c r="Y37" s="204"/>
      <c r="Z37" s="189"/>
      <c r="AA37" s="189"/>
      <c r="AB37" s="189"/>
      <c r="AC37" s="215"/>
      <c r="AD37" s="215"/>
      <c r="AE37" s="207"/>
      <c r="AF37" s="207"/>
      <c r="AG37" s="216"/>
      <c r="AH37" s="216"/>
      <c r="AI37" s="189"/>
      <c r="AJ37" s="25">
        <f>IFERROR(INDEX('N03-S04'!$BC$18:$BC$199,2*(ROWS(AJ$18:AJ37)-1)+1),"")</f>
        <v>0</v>
      </c>
      <c r="AK37" s="25">
        <f>IFERROR(INDEX('N03-S04'!$BD$18:$BD$199,2*(ROWS(AK$18:AK37)-1)+1),"")</f>
        <v>0</v>
      </c>
      <c r="AL37" s="207"/>
      <c r="AM37" s="207"/>
      <c r="AN37" s="207"/>
      <c r="AO37">
        <f>IFERROR(INDEX('N03-S04'!$B$18:$B$199,2*(ROWS(AO$18:AO37)-1)+1),"")</f>
        <v>20</v>
      </c>
      <c r="AP37" s="189"/>
      <c r="AQ37">
        <f>IFERROR(INDEX('N03-S04'!$C$18:$C$199,2*(ROWS(AQ$18:AQ37)-1)+1),"")</f>
        <v>0</v>
      </c>
      <c r="AR37" t="str" cm="1">
        <f t="array" aca="1" ref="AR37" ca="1">_xlfn.LET( _xlpm.Rows, 2*(ROWS(AS$18:AS37)-1)+1,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MATCH(AY37,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37" s="48" t="str" cm="1">
        <f t="array" aca="1" ref="AS37" ca="1">_xlfn.LET( _xlpm.Rows, 2*(ROWS(AS$18:AS37)-1)+1,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MATCH(AY37,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37" s="204"/>
      <c r="AU37" s="204"/>
      <c r="AV37">
        <f>IFERROR(INDEX('N03-S04'!$AZ$88:$AZ$199,2*(ROWS(AV$18:AV37)-1)+1),"")</f>
        <v>0</v>
      </c>
      <c r="AW37" s="189"/>
      <c r="AX37" t="str">
        <f>IFERROR(INDEX(STDHVAC_N[Reporting Methodology],MATCH(C37,STDHVAC_N[Measure Number],0)),"")</f>
        <v/>
      </c>
      <c r="AY37" s="1" t="str">
        <f>IFERROR(INDEX(STDHVAC_N[Primary Key],MATCH(C37,STDHVAC_N[Measure Number],0)),"")</f>
        <v/>
      </c>
      <c r="AZ37" s="170"/>
      <c r="BA37" s="170"/>
      <c r="BB37" s="170"/>
      <c r="BC37" s="170"/>
      <c r="BD37" s="170"/>
      <c r="BE37" s="170"/>
      <c r="BF37" s="170"/>
      <c r="BG37" s="170"/>
      <c r="BH37" s="170"/>
      <c r="BI37" s="170"/>
      <c r="BJ37" s="170"/>
      <c r="BK37" s="170"/>
    </row>
    <row r="38" spans="1:63">
      <c r="A38" s="14">
        <f t="shared" si="5"/>
        <v>0</v>
      </c>
      <c r="B38" t="str">
        <f t="shared" si="7"/>
        <v/>
      </c>
      <c r="C38" t="str">
        <f>IFERROR(IF(V38&gt;0,INDEX('N03-S04'!$BI$18:$BI$199,2*(ROWS($C$18:C38)-1)+1),""),"")</f>
        <v/>
      </c>
      <c r="D38" t="s">
        <v>50</v>
      </c>
      <c r="E38" t="s">
        <v>38</v>
      </c>
      <c r="F38" t="s">
        <v>849</v>
      </c>
      <c r="G38" t="str">
        <f>IFERROR(INDEX('N03-S04'!$BE$18:$BE$199,2*(ROWS($G38:G38)-1)+1),"")</f>
        <v/>
      </c>
      <c r="H38" s="207"/>
      <c r="I38" s="207"/>
      <c r="J38" s="560">
        <f>IFERROR(ROUND(INDEX('N03-S04'!$AE$18:$AE$199,2*(ROWS(J$18:J38)-1)+1),2),"")</f>
        <v>0</v>
      </c>
      <c r="K38" s="560">
        <f>IFERROR(ROUND(INDEX('N03-S04'!$AG$18:$AG$199,2*(ROWS(K$18:K38)-1)+1),2),"")</f>
        <v>0</v>
      </c>
      <c r="L38" s="13">
        <f>IFERROR(ROUND(INDEX('N03-S04'!$AY$88:$AY$199,2*(ROWS(L$18:L38)-1)+1),2),"")</f>
        <v>0</v>
      </c>
      <c r="N38" s="13" t="str">
        <f>IFERROR(ROUND(INDEX('N03-S04'!$BS$18:$BS$199,2*(ROWS(N$18:N38)-1)+1),2),"")</f>
        <v/>
      </c>
      <c r="O38" s="207"/>
      <c r="P38" s="10">
        <f>IFERROR(ROUND(INDEX('N03-S04'!$V$18:$V$199,2*(ROWS(P$18:P38)-1)+1),3),"")</f>
        <v>0</v>
      </c>
      <c r="Q38" s="10">
        <f>IFERROR(ROUND(INDEX('N03-S04'!$V$18:$V$199,2*(ROWS(Q$18:Q38)-1)+1),3),"")</f>
        <v>0</v>
      </c>
      <c r="R38" s="25"/>
      <c r="S38" s="25"/>
      <c r="T38" s="31"/>
      <c r="U38" s="31"/>
      <c r="V38" s="560" t="str">
        <f>IFERROR(INDEX('N03-S04'!$AR$18:$AR$199,2*(ROWS(V$18:V38)-1)+1),"")</f>
        <v/>
      </c>
      <c r="W38" s="204"/>
      <c r="X38" s="204"/>
      <c r="Y38" s="204"/>
      <c r="Z38" s="189"/>
      <c r="AA38" s="189"/>
      <c r="AB38" s="189"/>
      <c r="AC38" s="215"/>
      <c r="AD38" s="215"/>
      <c r="AE38" s="207"/>
      <c r="AF38" s="207"/>
      <c r="AG38" s="216"/>
      <c r="AH38" s="216"/>
      <c r="AI38" s="189"/>
      <c r="AJ38" s="25">
        <f>IFERROR(INDEX('N03-S04'!$BC$18:$BC$199,2*(ROWS(AJ$18:AJ38)-1)+1),"")</f>
        <v>0</v>
      </c>
      <c r="AK38" s="25">
        <f>IFERROR(INDEX('N03-S04'!$BD$18:$BD$199,2*(ROWS(AK$18:AK38)-1)+1),"")</f>
        <v>0</v>
      </c>
      <c r="AL38" s="207"/>
      <c r="AM38" s="207"/>
      <c r="AN38" s="207"/>
      <c r="AO38">
        <f>IFERROR(INDEX('N03-S04'!$B$18:$B$199,2*(ROWS(AO$18:AO38)-1)+1),"")</f>
        <v>21</v>
      </c>
      <c r="AP38" s="189"/>
      <c r="AQ38">
        <f>IFERROR(INDEX('N03-S04'!$C$18:$C$199,2*(ROWS(AQ$18:AQ38)-1)+1),"")</f>
        <v>0</v>
      </c>
      <c r="AR38" t="str" cm="1">
        <f t="array" aca="1" ref="AR38" ca="1">_xlfn.LET( _xlpm.Rows, 2*(ROWS(AS$18:AS38)-1)+1,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MATCH(AY38,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38" s="48" t="str" cm="1">
        <f t="array" aca="1" ref="AS38" ca="1">_xlfn.LET( _xlpm.Rows, 2*(ROWS(AS$18:AS38)-1)+1,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MATCH(AY38,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38" s="204"/>
      <c r="AU38" s="204"/>
      <c r="AV38">
        <f>IFERROR(INDEX('N03-S04'!$AZ$88:$AZ$199,2*(ROWS(AV$18:AV38)-1)+1),"")</f>
        <v>0</v>
      </c>
      <c r="AW38" s="189"/>
      <c r="AX38" t="str">
        <f>IFERROR(INDEX(STDHVAC_N[Reporting Methodology],MATCH(C38,STDHVAC_N[Measure Number],0)),"")</f>
        <v/>
      </c>
      <c r="AY38" s="1" t="str">
        <f>IFERROR(INDEX(STDHVAC_N[Primary Key],MATCH(C38,STDHVAC_N[Measure Number],0)),"")</f>
        <v/>
      </c>
      <c r="AZ38" s="170"/>
      <c r="BA38" s="170"/>
      <c r="BB38" s="170"/>
      <c r="BC38" s="170"/>
      <c r="BD38" s="170"/>
      <c r="BE38" s="170"/>
      <c r="BF38" s="170"/>
      <c r="BG38" s="170"/>
      <c r="BH38" s="170"/>
      <c r="BI38" s="170"/>
      <c r="BJ38" s="170"/>
      <c r="BK38" s="170"/>
    </row>
    <row r="39" spans="1:63">
      <c r="A39" s="14">
        <f t="shared" si="5"/>
        <v>0</v>
      </c>
      <c r="B39" t="str">
        <f t="shared" si="7"/>
        <v/>
      </c>
      <c r="C39" t="str">
        <f>IFERROR(IF(V39&gt;0,INDEX('N03-S04'!$BI$18:$BI$199,2*(ROWS($C$18:C39)-1)+1),""),"")</f>
        <v/>
      </c>
      <c r="D39" t="s">
        <v>50</v>
      </c>
      <c r="E39" t="s">
        <v>38</v>
      </c>
      <c r="F39" t="s">
        <v>849</v>
      </c>
      <c r="G39" t="str">
        <f>IFERROR(INDEX('N03-S04'!$BE$18:$BE$199,2*(ROWS($G39:G39)-1)+1),"")</f>
        <v/>
      </c>
      <c r="H39" s="207"/>
      <c r="I39" s="207"/>
      <c r="J39" s="560">
        <f>IFERROR(ROUND(INDEX('N03-S04'!$AE$18:$AE$199,2*(ROWS(J$18:J39)-1)+1),2),"")</f>
        <v>0</v>
      </c>
      <c r="K39" s="560">
        <f>IFERROR(ROUND(INDEX('N03-S04'!$AG$18:$AG$199,2*(ROWS(K$18:K39)-1)+1),2),"")</f>
        <v>0</v>
      </c>
      <c r="L39" s="13">
        <f>IFERROR(ROUND(INDEX('N03-S04'!$AY$88:$AY$199,2*(ROWS(L$18:L39)-1)+1),2),"")</f>
        <v>0</v>
      </c>
      <c r="N39" s="13" t="str">
        <f>IFERROR(ROUND(INDEX('N03-S04'!$BS$18:$BS$199,2*(ROWS(N$18:N39)-1)+1),2),"")</f>
        <v/>
      </c>
      <c r="O39" s="207"/>
      <c r="P39" s="10">
        <f>IFERROR(ROUND(INDEX('N03-S04'!$V$18:$V$199,2*(ROWS(P$18:P39)-1)+1),3),"")</f>
        <v>0</v>
      </c>
      <c r="Q39" s="10">
        <f>IFERROR(ROUND(INDEX('N03-S04'!$V$18:$V$199,2*(ROWS(Q$18:Q39)-1)+1),3),"")</f>
        <v>0</v>
      </c>
      <c r="R39" s="25"/>
      <c r="S39" s="25"/>
      <c r="T39" s="31"/>
      <c r="U39" s="31"/>
      <c r="V39" s="560" t="str">
        <f>IFERROR(INDEX('N03-S04'!$AR$18:$AR$199,2*(ROWS(V$18:V39)-1)+1),"")</f>
        <v/>
      </c>
      <c r="W39" s="204"/>
      <c r="X39" s="204"/>
      <c r="Y39" s="204"/>
      <c r="Z39" s="189"/>
      <c r="AA39" s="189"/>
      <c r="AB39" s="189"/>
      <c r="AC39" s="215"/>
      <c r="AD39" s="215"/>
      <c r="AE39" s="207"/>
      <c r="AF39" s="207"/>
      <c r="AG39" s="216"/>
      <c r="AH39" s="216"/>
      <c r="AI39" s="189"/>
      <c r="AJ39" s="25">
        <f>IFERROR(INDEX('N03-S04'!$BC$18:$BC$199,2*(ROWS(AJ$18:AJ39)-1)+1),"")</f>
        <v>0</v>
      </c>
      <c r="AK39" s="25">
        <f>IFERROR(INDEX('N03-S04'!$BD$18:$BD$199,2*(ROWS(AK$18:AK39)-1)+1),"")</f>
        <v>0</v>
      </c>
      <c r="AL39" s="207"/>
      <c r="AM39" s="207"/>
      <c r="AN39" s="207"/>
      <c r="AO39">
        <f>IFERROR(INDEX('N03-S04'!$B$18:$B$199,2*(ROWS(AO$18:AO39)-1)+1),"")</f>
        <v>22</v>
      </c>
      <c r="AP39" s="189"/>
      <c r="AQ39">
        <f>IFERROR(INDEX('N03-S04'!$C$18:$C$199,2*(ROWS(AQ$18:AQ39)-1)+1),"")</f>
        <v>0</v>
      </c>
      <c r="AR39" t="str" cm="1">
        <f t="array" aca="1" ref="AR39" ca="1">_xlfn.LET( _xlpm.Rows, 2*(ROWS(AS$18:AS39)-1)+1,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MATCH(AY39,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39" s="48" t="str" cm="1">
        <f t="array" aca="1" ref="AS39" ca="1">_xlfn.LET( _xlpm.Rows, 2*(ROWS(AS$18:AS39)-1)+1,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MATCH(AY39,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39" s="204"/>
      <c r="AU39" s="204"/>
      <c r="AV39">
        <f>IFERROR(INDEX('N03-S04'!$AZ$88:$AZ$199,2*(ROWS(AV$18:AV39)-1)+1),"")</f>
        <v>0</v>
      </c>
      <c r="AW39" s="189"/>
      <c r="AX39" t="str">
        <f>IFERROR(INDEX(STDHVAC_N[Reporting Methodology],MATCH(C39,STDHVAC_N[Measure Number],0)),"")</f>
        <v/>
      </c>
      <c r="AY39" s="1" t="str">
        <f>IFERROR(INDEX(STDHVAC_N[Primary Key],MATCH(C39,STDHVAC_N[Measure Number],0)),"")</f>
        <v/>
      </c>
      <c r="AZ39" s="170"/>
      <c r="BA39" s="170"/>
      <c r="BB39" s="170"/>
      <c r="BC39" s="170"/>
      <c r="BD39" s="170"/>
      <c r="BE39" s="170"/>
      <c r="BF39" s="170"/>
      <c r="BG39" s="170"/>
      <c r="BH39" s="170"/>
      <c r="BI39" s="170"/>
      <c r="BJ39" s="170"/>
      <c r="BK39" s="170"/>
    </row>
    <row r="40" spans="1:63">
      <c r="A40" s="14">
        <f t="shared" si="5"/>
        <v>0</v>
      </c>
      <c r="B40" t="str">
        <f t="shared" si="7"/>
        <v/>
      </c>
      <c r="C40" t="str">
        <f>IFERROR(IF(V40&gt;0,INDEX('N03-S04'!$BI$18:$BI$199,2*(ROWS($C$18:C40)-1)+1),""),"")</f>
        <v/>
      </c>
      <c r="D40" t="s">
        <v>50</v>
      </c>
      <c r="E40" t="s">
        <v>38</v>
      </c>
      <c r="F40" t="s">
        <v>849</v>
      </c>
      <c r="G40" t="str">
        <f>IFERROR(INDEX('N03-S04'!$BE$18:$BE$199,2*(ROWS($G40:G40)-1)+1),"")</f>
        <v/>
      </c>
      <c r="H40" s="207"/>
      <c r="I40" s="207"/>
      <c r="J40" s="560">
        <f>IFERROR(ROUND(INDEX('N03-S04'!$AE$18:$AE$199,2*(ROWS(J$18:J40)-1)+1),2),"")</f>
        <v>0</v>
      </c>
      <c r="K40" s="560">
        <f>IFERROR(ROUND(INDEX('N03-S04'!$AG$18:$AG$199,2*(ROWS(K$18:K40)-1)+1),2),"")</f>
        <v>0</v>
      </c>
      <c r="L40" s="13">
        <f>IFERROR(ROUND(INDEX('N03-S04'!$AY$88:$AY$199,2*(ROWS(L$18:L40)-1)+1),2),"")</f>
        <v>0</v>
      </c>
      <c r="N40" s="13" t="str">
        <f>IFERROR(ROUND(INDEX('N03-S04'!$BS$18:$BS$199,2*(ROWS(N$18:N40)-1)+1),2),"")</f>
        <v/>
      </c>
      <c r="O40" s="207"/>
      <c r="P40" s="10">
        <f>IFERROR(ROUND(INDEX('N03-S04'!$V$18:$V$199,2*(ROWS(P$18:P40)-1)+1),3),"")</f>
        <v>0</v>
      </c>
      <c r="Q40" s="10">
        <f>IFERROR(ROUND(INDEX('N03-S04'!$V$18:$V$199,2*(ROWS(Q$18:Q40)-1)+1),3),"")</f>
        <v>0</v>
      </c>
      <c r="R40" s="25"/>
      <c r="S40" s="25"/>
      <c r="T40" s="31"/>
      <c r="U40" s="31"/>
      <c r="V40" s="560" t="str">
        <f>IFERROR(INDEX('N03-S04'!$AR$18:$AR$199,2*(ROWS(V$18:V40)-1)+1),"")</f>
        <v/>
      </c>
      <c r="W40" s="204"/>
      <c r="X40" s="204"/>
      <c r="Y40" s="204"/>
      <c r="Z40" s="189"/>
      <c r="AA40" s="189"/>
      <c r="AB40" s="189"/>
      <c r="AC40" s="215"/>
      <c r="AD40" s="215"/>
      <c r="AE40" s="207"/>
      <c r="AF40" s="207"/>
      <c r="AG40" s="216"/>
      <c r="AH40" s="216"/>
      <c r="AI40" s="189"/>
      <c r="AJ40" s="25">
        <f>IFERROR(INDEX('N03-S04'!$BC$18:$BC$199,2*(ROWS(AJ$18:AJ40)-1)+1),"")</f>
        <v>0</v>
      </c>
      <c r="AK40" s="25">
        <f>IFERROR(INDEX('N03-S04'!$BD$18:$BD$199,2*(ROWS(AK$18:AK40)-1)+1),"")</f>
        <v>0</v>
      </c>
      <c r="AL40" s="207"/>
      <c r="AM40" s="207"/>
      <c r="AN40" s="207"/>
      <c r="AO40">
        <f>IFERROR(INDEX('N03-S04'!$B$18:$B$199,2*(ROWS(AO$18:AO40)-1)+1),"")</f>
        <v>23</v>
      </c>
      <c r="AP40" s="189"/>
      <c r="AQ40">
        <f>IFERROR(INDEX('N03-S04'!$C$18:$C$199,2*(ROWS(AQ$18:AQ40)-1)+1),"")</f>
        <v>0</v>
      </c>
      <c r="AR40" t="str" cm="1">
        <f t="array" aca="1" ref="AR40" ca="1">_xlfn.LET( _xlpm.Rows, 2*(ROWS(AS$18:AS40)-1)+1,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MATCH(AY40,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40" s="48" t="str" cm="1">
        <f t="array" aca="1" ref="AS40" ca="1">_xlfn.LET( _xlpm.Rows, 2*(ROWS(AS$18:AS40)-1)+1,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MATCH(AY40,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40" s="204"/>
      <c r="AU40" s="204"/>
      <c r="AV40">
        <f>IFERROR(INDEX('N03-S04'!$AZ$88:$AZ$199,2*(ROWS(AV$18:AV40)-1)+1),"")</f>
        <v>0</v>
      </c>
      <c r="AW40" s="189"/>
      <c r="AX40" t="str">
        <f>IFERROR(INDEX(STDHVAC_N[Reporting Methodology],MATCH(C40,STDHVAC_N[Measure Number],0)),"")</f>
        <v/>
      </c>
      <c r="AY40" s="1" t="str">
        <f>IFERROR(INDEX(STDHVAC_N[Primary Key],MATCH(C40,STDHVAC_N[Measure Number],0)),"")</f>
        <v/>
      </c>
      <c r="AZ40" s="170"/>
      <c r="BA40" s="170"/>
      <c r="BB40" s="170"/>
      <c r="BC40" s="170"/>
      <c r="BD40" s="170"/>
      <c r="BE40" s="170"/>
      <c r="BF40" s="170"/>
      <c r="BG40" s="170"/>
      <c r="BH40" s="170"/>
      <c r="BI40" s="170"/>
      <c r="BJ40" s="170"/>
      <c r="BK40" s="170"/>
    </row>
    <row r="41" spans="1:63">
      <c r="A41" s="14">
        <f t="shared" si="5"/>
        <v>0</v>
      </c>
      <c r="B41" t="str">
        <f t="shared" si="7"/>
        <v/>
      </c>
      <c r="C41" t="str">
        <f>IFERROR(IF(V41&gt;0,INDEX('N03-S04'!$BI$18:$BI$199,2*(ROWS($C$18:C41)-1)+1),""),"")</f>
        <v/>
      </c>
      <c r="D41" t="s">
        <v>50</v>
      </c>
      <c r="E41" t="s">
        <v>38</v>
      </c>
      <c r="F41" t="s">
        <v>849</v>
      </c>
      <c r="G41" t="str">
        <f>IFERROR(INDEX('N03-S04'!$BE$18:$BE$199,2*(ROWS($G41:G41)-1)+1),"")</f>
        <v/>
      </c>
      <c r="H41" s="207"/>
      <c r="I41" s="207"/>
      <c r="J41" s="560">
        <f>IFERROR(ROUND(INDEX('N03-S04'!$AE$18:$AE$199,2*(ROWS(J$18:J41)-1)+1),2),"")</f>
        <v>0</v>
      </c>
      <c r="K41" s="560">
        <f>IFERROR(ROUND(INDEX('N03-S04'!$AG$18:$AG$199,2*(ROWS(K$18:K41)-1)+1),2),"")</f>
        <v>0</v>
      </c>
      <c r="L41" s="13">
        <f>IFERROR(ROUND(INDEX('N03-S04'!$AY$88:$AY$199,2*(ROWS(L$18:L41)-1)+1),2),"")</f>
        <v>0</v>
      </c>
      <c r="N41" s="13" t="str">
        <f>IFERROR(ROUND(INDEX('N03-S04'!$BS$18:$BS$199,2*(ROWS(N$18:N41)-1)+1),2),"")</f>
        <v/>
      </c>
      <c r="O41" s="207"/>
      <c r="P41" s="10">
        <f>IFERROR(ROUND(INDEX('N03-S04'!$V$18:$V$199,2*(ROWS(P$18:P41)-1)+1),3),"")</f>
        <v>0</v>
      </c>
      <c r="Q41" s="10">
        <f>IFERROR(ROUND(INDEX('N03-S04'!$V$18:$V$199,2*(ROWS(Q$18:Q41)-1)+1),3),"")</f>
        <v>0</v>
      </c>
      <c r="R41" s="25"/>
      <c r="S41" s="25"/>
      <c r="T41" s="31"/>
      <c r="U41" s="31"/>
      <c r="V41" s="560" t="str">
        <f>IFERROR(INDEX('N03-S04'!$AR$18:$AR$199,2*(ROWS(V$18:V41)-1)+1),"")</f>
        <v/>
      </c>
      <c r="W41" s="204"/>
      <c r="X41" s="204"/>
      <c r="Y41" s="204"/>
      <c r="Z41" s="189"/>
      <c r="AA41" s="189"/>
      <c r="AB41" s="189"/>
      <c r="AC41" s="215"/>
      <c r="AD41" s="215"/>
      <c r="AE41" s="207"/>
      <c r="AF41" s="207"/>
      <c r="AG41" s="216"/>
      <c r="AH41" s="216"/>
      <c r="AI41" s="189"/>
      <c r="AJ41" s="25">
        <f>IFERROR(INDEX('N03-S04'!$BC$18:$BC$199,2*(ROWS(AJ$18:AJ41)-1)+1),"")</f>
        <v>0</v>
      </c>
      <c r="AK41" s="25">
        <f>IFERROR(INDEX('N03-S04'!$BD$18:$BD$199,2*(ROWS(AK$18:AK41)-1)+1),"")</f>
        <v>0</v>
      </c>
      <c r="AL41" s="207"/>
      <c r="AM41" s="207"/>
      <c r="AN41" s="207"/>
      <c r="AO41">
        <f>IFERROR(INDEX('N03-S04'!$B$18:$B$199,2*(ROWS(AO$18:AO41)-1)+1),"")</f>
        <v>24</v>
      </c>
      <c r="AP41" s="189"/>
      <c r="AQ41">
        <f>IFERROR(INDEX('N03-S04'!$C$18:$C$199,2*(ROWS(AQ$18:AQ41)-1)+1),"")</f>
        <v>0</v>
      </c>
      <c r="AR41" t="str" cm="1">
        <f t="array" aca="1" ref="AR41" ca="1">_xlfn.LET( _xlpm.Rows, 2*(ROWS(AS$18:AS41)-1)+1,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MATCH(AY41,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41" s="48" t="str" cm="1">
        <f t="array" aca="1" ref="AS41" ca="1">_xlfn.LET( _xlpm.Rows, 2*(ROWS(AS$18:AS41)-1)+1,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MATCH(AY41,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41" s="204"/>
      <c r="AU41" s="204"/>
      <c r="AV41">
        <f>IFERROR(INDEX('N03-S04'!$AZ$88:$AZ$199,2*(ROWS(AV$18:AV41)-1)+1),"")</f>
        <v>0</v>
      </c>
      <c r="AW41" s="189"/>
      <c r="AX41" t="str">
        <f>IFERROR(INDEX(STDHVAC_N[Reporting Methodology],MATCH(C41,STDHVAC_N[Measure Number],0)),"")</f>
        <v/>
      </c>
      <c r="AY41" s="1" t="str">
        <f>IFERROR(INDEX(STDHVAC_N[Primary Key],MATCH(C41,STDHVAC_N[Measure Number],0)),"")</f>
        <v/>
      </c>
      <c r="AZ41" s="170"/>
      <c r="BA41" s="170"/>
      <c r="BB41" s="170"/>
      <c r="BC41" s="170"/>
      <c r="BD41" s="170"/>
      <c r="BE41" s="170"/>
      <c r="BF41" s="170"/>
      <c r="BG41" s="170"/>
      <c r="BH41" s="170"/>
      <c r="BI41" s="170"/>
      <c r="BJ41" s="170"/>
      <c r="BK41" s="170"/>
    </row>
    <row r="42" spans="1:63">
      <c r="A42" s="14">
        <f t="shared" si="5"/>
        <v>0</v>
      </c>
      <c r="B42" t="str">
        <f t="shared" si="7"/>
        <v/>
      </c>
      <c r="C42" t="str">
        <f>IFERROR(IF(V42&gt;0,INDEX('N03-S04'!$BI$18:$BI$199,2*(ROWS($C$18:C42)-1)+1),""),"")</f>
        <v/>
      </c>
      <c r="D42" t="s">
        <v>50</v>
      </c>
      <c r="E42" t="s">
        <v>38</v>
      </c>
      <c r="F42" t="s">
        <v>849</v>
      </c>
      <c r="G42" t="str">
        <f>IFERROR(INDEX('N03-S04'!$BE$18:$BE$199,2*(ROWS($G42:G42)-1)+1),"")</f>
        <v/>
      </c>
      <c r="H42" s="207"/>
      <c r="I42" s="207"/>
      <c r="J42" s="560">
        <f>IFERROR(ROUND(INDEX('N03-S04'!$AE$18:$AE$199,2*(ROWS(J$18:J42)-1)+1),2),"")</f>
        <v>0</v>
      </c>
      <c r="K42" s="560">
        <f>IFERROR(ROUND(INDEX('N03-S04'!$AG$18:$AG$199,2*(ROWS(K$18:K42)-1)+1),2),"")</f>
        <v>0</v>
      </c>
      <c r="L42" s="13">
        <f>IFERROR(ROUND(INDEX('N03-S04'!$AY$88:$AY$199,2*(ROWS(L$18:L42)-1)+1),2),"")</f>
        <v>0</v>
      </c>
      <c r="N42" s="13" t="str">
        <f>IFERROR(ROUND(INDEX('N03-S04'!$BS$18:$BS$199,2*(ROWS(N$18:N42)-1)+1),2),"")</f>
        <v/>
      </c>
      <c r="O42" s="207"/>
      <c r="P42" s="10">
        <f>IFERROR(ROUND(INDEX('N03-S04'!$V$18:$V$199,2*(ROWS(P$18:P42)-1)+1),3),"")</f>
        <v>0</v>
      </c>
      <c r="Q42" s="10">
        <f>IFERROR(ROUND(INDEX('N03-S04'!$V$18:$V$199,2*(ROWS(Q$18:Q42)-1)+1),3),"")</f>
        <v>0</v>
      </c>
      <c r="R42" s="25"/>
      <c r="S42" s="25"/>
      <c r="T42" s="31"/>
      <c r="U42" s="31"/>
      <c r="V42" s="560" t="str">
        <f>IFERROR(INDEX('N03-S04'!$AR$18:$AR$199,2*(ROWS(V$18:V42)-1)+1),"")</f>
        <v/>
      </c>
      <c r="W42" s="204"/>
      <c r="X42" s="204"/>
      <c r="Y42" s="204"/>
      <c r="Z42" s="189"/>
      <c r="AA42" s="189"/>
      <c r="AB42" s="189"/>
      <c r="AC42" s="215"/>
      <c r="AD42" s="215"/>
      <c r="AE42" s="207"/>
      <c r="AF42" s="207"/>
      <c r="AG42" s="216"/>
      <c r="AH42" s="216"/>
      <c r="AI42" s="189"/>
      <c r="AJ42" s="25">
        <f>IFERROR(INDEX('N03-S04'!$BC$18:$BC$199,2*(ROWS(AJ$18:AJ42)-1)+1),"")</f>
        <v>0</v>
      </c>
      <c r="AK42" s="25">
        <f>IFERROR(INDEX('N03-S04'!$BD$18:$BD$199,2*(ROWS(AK$18:AK42)-1)+1),"")</f>
        <v>0</v>
      </c>
      <c r="AL42" s="207"/>
      <c r="AM42" s="207"/>
      <c r="AN42" s="207"/>
      <c r="AO42">
        <f>IFERROR(INDEX('N03-S04'!$B$18:$B$199,2*(ROWS(AO$18:AO42)-1)+1),"")</f>
        <v>25</v>
      </c>
      <c r="AP42" s="189"/>
      <c r="AQ42">
        <f>IFERROR(INDEX('N03-S04'!$C$18:$C$199,2*(ROWS(AQ$18:AQ42)-1)+1),"")</f>
        <v>0</v>
      </c>
      <c r="AR42" t="str" cm="1">
        <f t="array" aca="1" ref="AR42" ca="1">_xlfn.LET( _xlpm.Rows, 2*(ROWS(AS$18:AS42)-1)+1,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MATCH(AY42,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42" s="48" t="str" cm="1">
        <f t="array" aca="1" ref="AS42" ca="1">_xlfn.LET( _xlpm.Rows, 2*(ROWS(AS$18:AS42)-1)+1,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MATCH(AY42,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42" s="204"/>
      <c r="AU42" s="204"/>
      <c r="AV42">
        <f>IFERROR(INDEX('N03-S04'!$AZ$88:$AZ$199,2*(ROWS(AV$18:AV42)-1)+1),"")</f>
        <v>0</v>
      </c>
      <c r="AW42" s="189"/>
      <c r="AX42" t="str">
        <f>IFERROR(INDEX(STDHVAC_N[Reporting Methodology],MATCH(C42,STDHVAC_N[Measure Number],0)),"")</f>
        <v/>
      </c>
      <c r="AY42" s="1" t="str">
        <f>IFERROR(INDEX(STDHVAC_N[Primary Key],MATCH(C42,STDHVAC_N[Measure Number],0)),"")</f>
        <v/>
      </c>
      <c r="AZ42" s="170"/>
      <c r="BA42" s="170"/>
      <c r="BB42" s="170"/>
      <c r="BC42" s="170"/>
      <c r="BD42" s="170"/>
      <c r="BE42" s="170"/>
      <c r="BF42" s="170"/>
      <c r="BG42" s="170"/>
      <c r="BH42" s="170"/>
      <c r="BI42" s="170"/>
      <c r="BJ42" s="170"/>
      <c r="BK42" s="170"/>
    </row>
    <row r="43" spans="1:63">
      <c r="A43" s="14">
        <f t="shared" si="5"/>
        <v>0</v>
      </c>
      <c r="B43" t="str">
        <f t="shared" si="7"/>
        <v/>
      </c>
      <c r="C43" t="str">
        <f>IFERROR(IF(V43&gt;0,INDEX('N03-S04'!$BI$18:$BI$199,2*(ROWS($C$18:C43)-1)+1),""),"")</f>
        <v/>
      </c>
      <c r="D43" t="s">
        <v>50</v>
      </c>
      <c r="E43" t="s">
        <v>38</v>
      </c>
      <c r="F43" t="s">
        <v>849</v>
      </c>
      <c r="G43" t="str">
        <f>IFERROR(INDEX('N03-S04'!$BE$18:$BE$199,2*(ROWS($G43:G43)-1)+1),"")</f>
        <v/>
      </c>
      <c r="H43" s="207"/>
      <c r="I43" s="207"/>
      <c r="J43" s="560">
        <f>IFERROR(ROUND(INDEX('N03-S04'!$AE$18:$AE$199,2*(ROWS(J$18:J43)-1)+1),2),"")</f>
        <v>0</v>
      </c>
      <c r="K43" s="560">
        <f>IFERROR(ROUND(INDEX('N03-S04'!$AG$18:$AG$199,2*(ROWS(K$18:K43)-1)+1),2),"")</f>
        <v>0</v>
      </c>
      <c r="L43" s="13">
        <f>IFERROR(ROUND(INDEX('N03-S04'!$AY$88:$AY$199,2*(ROWS(L$18:L43)-1)+1),2),"")</f>
        <v>0</v>
      </c>
      <c r="N43" s="13" t="str">
        <f>IFERROR(ROUND(INDEX('N03-S04'!$BS$18:$BS$199,2*(ROWS(N$18:N43)-1)+1),2),"")</f>
        <v/>
      </c>
      <c r="O43" s="207"/>
      <c r="P43" s="10">
        <f>IFERROR(ROUND(INDEX('N03-S04'!$V$18:$V$199,2*(ROWS(P$18:P43)-1)+1),3),"")</f>
        <v>0</v>
      </c>
      <c r="Q43" s="10">
        <f>IFERROR(ROUND(INDEX('N03-S04'!$V$18:$V$199,2*(ROWS(Q$18:Q43)-1)+1),3),"")</f>
        <v>0</v>
      </c>
      <c r="R43" s="25">
        <f>IFERROR(INDEX('N03-S04'!$BA$88:$BA$199,2*(ROWS(R$18:R43)-1)+1),"")</f>
        <v>0</v>
      </c>
      <c r="S43" s="25" t="str">
        <f>IFERROR(INDEX('N03-S04'!$BF$18:$BF$199,2*(ROWS(S$18:S43)-1)+1),"")</f>
        <v/>
      </c>
      <c r="T43" s="31">
        <f>IFERROR(INDEX('N03-S04'!$BB$88:$BB$199,2*(ROWS(T$18:T43)-1)+1),"")</f>
        <v>0</v>
      </c>
      <c r="U43" s="31" t="str">
        <f>IFERROR(INDEX('N03-S04'!$BG$18:$BG$199,2*(ROWS(U$18:U43)-1)+1),"")</f>
        <v/>
      </c>
      <c r="V43" s="560" t="str">
        <f>IFERROR(INDEX('N03-S04'!$AR$18:$AR$199,2*(ROWS(V$18:V43)-1)+1),"")</f>
        <v/>
      </c>
      <c r="W43" s="204"/>
      <c r="X43" s="204"/>
      <c r="Y43" s="204"/>
      <c r="Z43" s="189"/>
      <c r="AA43" s="189"/>
      <c r="AB43" s="189"/>
      <c r="AC43" s="215"/>
      <c r="AD43" s="215"/>
      <c r="AE43" s="207"/>
      <c r="AF43" s="207"/>
      <c r="AG43" s="216"/>
      <c r="AH43" s="216"/>
      <c r="AI43" s="189"/>
      <c r="AJ43" s="25">
        <f>IFERROR(INDEX('N03-S04'!$BC$18:$BC$199,2*(ROWS(AJ$18:AJ43)-1)+1),"")</f>
        <v>0</v>
      </c>
      <c r="AK43" s="25">
        <f>IFERROR(INDEX('N03-S04'!$BD$18:$BD$199,2*(ROWS(AK$18:AK43)-1)+1),"")</f>
        <v>0</v>
      </c>
      <c r="AL43" s="207"/>
      <c r="AM43" s="207"/>
      <c r="AN43" s="207"/>
      <c r="AO43">
        <f>IFERROR(INDEX('N03-S04'!$B$18:$B$199,2*(ROWS(AO$18:AO43)-1)+1),"")</f>
        <v>26</v>
      </c>
      <c r="AP43" s="189"/>
      <c r="AQ43">
        <f>IFERROR(INDEX('N03-S04'!$C$18:$C$199,2*(ROWS(AQ$18:AQ43)-1)+1),"")</f>
        <v>0</v>
      </c>
      <c r="AR43" t="str" cm="1">
        <f t="array" aca="1" ref="AR43" ca="1">_xlfn.LET( _xlpm.Rows, 2*(ROWS(AS$18:AS43)-1)+1,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MATCH(AY43,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43" s="48" t="str" cm="1">
        <f t="array" aca="1" ref="AS43" ca="1">_xlfn.LET( _xlpm.Rows, 2*(ROWS(AS$18:AS43)-1)+1,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MATCH(AY43,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43" s="204"/>
      <c r="AU43" s="204"/>
      <c r="AV43">
        <f>IFERROR(INDEX('N03-S04'!$AZ$88:$AZ$199,2*(ROWS(AV$18:AV43)-1)+1),"")</f>
        <v>0</v>
      </c>
      <c r="AW43" s="189"/>
      <c r="AX43" t="str">
        <f>IFERROR(INDEX(STDHVAC_N[Reporting Methodology],MATCH(C43,STDHVAC_N[Measure Number],0)),"")</f>
        <v/>
      </c>
      <c r="AY43" s="1" t="str">
        <f>IFERROR(INDEX(STDHVAC_N[Primary Key],MATCH(C43,STDHVAC_N[Measure Number],0)),"")</f>
        <v/>
      </c>
      <c r="AZ43" s="170"/>
      <c r="BA43" s="170"/>
      <c r="BB43" s="170"/>
      <c r="BC43" s="170"/>
      <c r="BD43" s="170"/>
      <c r="BE43" s="170"/>
      <c r="BF43" s="170"/>
      <c r="BG43" s="170"/>
      <c r="BH43" s="170"/>
      <c r="BI43" s="170"/>
      <c r="BJ43" s="170"/>
      <c r="BK43" s="170"/>
    </row>
    <row r="44" spans="1:63">
      <c r="A44" s="14">
        <f t="shared" si="5"/>
        <v>0</v>
      </c>
      <c r="B44" t="str">
        <f t="shared" si="7"/>
        <v/>
      </c>
      <c r="C44" t="str">
        <f>IFERROR(IF(V44&gt;0,INDEX('N03-S04'!$BI$18:$BI$199,2*(ROWS($C$18:C44)-1)+1),""),"")</f>
        <v/>
      </c>
      <c r="D44" t="s">
        <v>50</v>
      </c>
      <c r="E44" t="s">
        <v>38</v>
      </c>
      <c r="F44" t="s">
        <v>849</v>
      </c>
      <c r="G44" t="str">
        <f>IFERROR(INDEX('N03-S04'!$BE$18:$BE$199,2*(ROWS($G44:G44)-1)+1),"")</f>
        <v/>
      </c>
      <c r="H44" s="207"/>
      <c r="I44" s="207"/>
      <c r="J44" s="560">
        <f>IFERROR(ROUND(INDEX('N03-S04'!$AE$18:$AE$199,2*(ROWS(J$18:J44)-1)+1),2),"")</f>
        <v>0</v>
      </c>
      <c r="K44" s="560">
        <f>IFERROR(ROUND(INDEX('N03-S04'!$AG$18:$AG$199,2*(ROWS(K$18:K44)-1)+1),2),"")</f>
        <v>0</v>
      </c>
      <c r="L44" s="13">
        <f>IFERROR(ROUND(INDEX('N03-S04'!$AY$88:$AY$199,2*(ROWS(L$18:L44)-1)+1),2),"")</f>
        <v>0</v>
      </c>
      <c r="N44" s="13" t="str">
        <f>IFERROR(ROUND(INDEX('N03-S04'!$BS$18:$BS$199,2*(ROWS(N$18:N44)-1)+1),2),"")</f>
        <v/>
      </c>
      <c r="O44" s="207"/>
      <c r="P44" s="10">
        <f>IFERROR(ROUND(INDEX('N03-S04'!$V$18:$V$199,2*(ROWS(P$18:P44)-1)+1),3),"")</f>
        <v>0</v>
      </c>
      <c r="Q44" s="10">
        <f>IFERROR(ROUND(INDEX('N03-S04'!$V$18:$V$199,2*(ROWS(Q$18:Q44)-1)+1),3),"")</f>
        <v>0</v>
      </c>
      <c r="R44" s="25">
        <f>IFERROR(INDEX('N03-S04'!$BA$88:$BA$199,2*(ROWS(R$18:R44)-1)+1),"")</f>
        <v>0</v>
      </c>
      <c r="S44" s="25" t="str">
        <f>IFERROR(INDEX('N03-S04'!$BF$18:$BF$199,2*(ROWS(S$18:S44)-1)+1),"")</f>
        <v/>
      </c>
      <c r="T44" s="31">
        <f>IFERROR(INDEX('N03-S04'!$BB$88:$BB$199,2*(ROWS(T$18:T44)-1)+1),"")</f>
        <v>0</v>
      </c>
      <c r="U44" s="31" t="str">
        <f>IFERROR(INDEX('N03-S04'!$BG$18:$BG$199,2*(ROWS(U$18:U44)-1)+1),"")</f>
        <v/>
      </c>
      <c r="V44" s="560" t="str">
        <f>IFERROR(INDEX('N03-S04'!$AR$18:$AR$199,2*(ROWS(V$18:V44)-1)+1),"")</f>
        <v/>
      </c>
      <c r="W44" s="204"/>
      <c r="X44" s="204"/>
      <c r="Y44" s="204"/>
      <c r="Z44" s="189"/>
      <c r="AA44" s="189"/>
      <c r="AB44" s="189"/>
      <c r="AC44" s="215"/>
      <c r="AD44" s="215"/>
      <c r="AE44" s="207"/>
      <c r="AF44" s="207"/>
      <c r="AG44" s="216"/>
      <c r="AH44" s="216"/>
      <c r="AI44" s="189"/>
      <c r="AJ44" s="25">
        <f>IFERROR(INDEX('N03-S04'!$BC$18:$BC$199,2*(ROWS(AJ$18:AJ44)-1)+1),"")</f>
        <v>0</v>
      </c>
      <c r="AK44" s="25">
        <f>IFERROR(INDEX('N03-S04'!$BD$18:$BD$199,2*(ROWS(AK$18:AK44)-1)+1),"")</f>
        <v>0</v>
      </c>
      <c r="AL44" s="207"/>
      <c r="AM44" s="207"/>
      <c r="AN44" s="207"/>
      <c r="AO44">
        <f>IFERROR(INDEX('N03-S04'!$B$18:$B$199,2*(ROWS(AO$18:AO44)-1)+1),"")</f>
        <v>27</v>
      </c>
      <c r="AP44" s="189"/>
      <c r="AQ44">
        <f>IFERROR(INDEX('N03-S04'!$C$18:$C$199,2*(ROWS(AQ$18:AQ44)-1)+1),"")</f>
        <v>0</v>
      </c>
      <c r="AR44" t="str" cm="1">
        <f t="array" aca="1" ref="AR44" ca="1">_xlfn.LET( _xlpm.Rows, 2*(ROWS(AS$18:AS44)-1)+1,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MATCH(AY44,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44" s="48" t="str" cm="1">
        <f t="array" aca="1" ref="AS44" ca="1">_xlfn.LET( _xlpm.Rows, 2*(ROWS(AS$18:AS44)-1)+1,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MATCH(AY44,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44" s="204"/>
      <c r="AU44" s="204"/>
      <c r="AV44">
        <f>IFERROR(INDEX('N03-S04'!$AZ$88:$AZ$199,2*(ROWS(AV$18:AV44)-1)+1),"")</f>
        <v>0</v>
      </c>
      <c r="AW44" s="189"/>
      <c r="AX44" t="str">
        <f>IFERROR(INDEX(STDHVAC_N[Reporting Methodology],MATCH(C44,STDHVAC_N[Measure Number],0)),"")</f>
        <v/>
      </c>
      <c r="AY44" s="1" t="str">
        <f>IFERROR(INDEX(STDHVAC_N[Primary Key],MATCH(C44,STDHVAC_N[Measure Number],0)),"")</f>
        <v/>
      </c>
      <c r="AZ44" s="170"/>
      <c r="BA44" s="170"/>
      <c r="BB44" s="170"/>
      <c r="BC44" s="170"/>
      <c r="BD44" s="170"/>
      <c r="BE44" s="170"/>
      <c r="BF44" s="170"/>
      <c r="BG44" s="170"/>
      <c r="BH44" s="170"/>
      <c r="BI44" s="170"/>
      <c r="BJ44" s="170"/>
      <c r="BK44" s="170"/>
    </row>
    <row r="45" spans="1:63">
      <c r="A45" s="14">
        <f t="shared" si="5"/>
        <v>0</v>
      </c>
      <c r="B45" t="str">
        <f t="shared" si="7"/>
        <v/>
      </c>
      <c r="C45" t="str">
        <f>IFERROR(IF(V45&gt;0,INDEX('N03-S04'!$BI$18:$BI$199,2*(ROWS($C$18:C45)-1)+1),""),"")</f>
        <v/>
      </c>
      <c r="D45" t="s">
        <v>50</v>
      </c>
      <c r="E45" t="s">
        <v>38</v>
      </c>
      <c r="F45" t="s">
        <v>849</v>
      </c>
      <c r="G45" t="str">
        <f>IFERROR(INDEX('N03-S04'!$BE$18:$BE$199,2*(ROWS($G45:G45)-1)+1),"")</f>
        <v/>
      </c>
      <c r="H45" s="207"/>
      <c r="I45" s="207"/>
      <c r="J45" s="560">
        <f>IFERROR(ROUND(INDEX('N03-S04'!$AE$18:$AE$199,2*(ROWS(J$18:J45)-1)+1),2),"")</f>
        <v>0</v>
      </c>
      <c r="K45" s="560">
        <f>IFERROR(ROUND(INDEX('N03-S04'!$AG$18:$AG$199,2*(ROWS(K$18:K45)-1)+1),2),"")</f>
        <v>0</v>
      </c>
      <c r="L45" s="13">
        <f>IFERROR(ROUND(INDEX('N03-S04'!$AY$88:$AY$199,2*(ROWS(L$18:L45)-1)+1),2),"")</f>
        <v>0</v>
      </c>
      <c r="N45" s="13" t="str">
        <f>IFERROR(ROUND(INDEX('N03-S04'!$BS$18:$BS$199,2*(ROWS(N$18:N45)-1)+1),2),"")</f>
        <v/>
      </c>
      <c r="O45" s="207"/>
      <c r="P45" s="10">
        <f>IFERROR(ROUND(INDEX('N03-S04'!$V$18:$V$199,2*(ROWS(P$18:P45)-1)+1),3),"")</f>
        <v>0</v>
      </c>
      <c r="Q45" s="10">
        <f>IFERROR(ROUND(INDEX('N03-S04'!$V$18:$V$199,2*(ROWS(Q$18:Q45)-1)+1),3),"")</f>
        <v>0</v>
      </c>
      <c r="R45" s="25">
        <f>IFERROR(INDEX('N03-S04'!$BA$88:$BA$199,2*(ROWS(R$18:R45)-1)+1),"")</f>
        <v>0</v>
      </c>
      <c r="S45" s="25" t="str">
        <f>IFERROR(INDEX('N03-S04'!$BF$18:$BF$199,2*(ROWS(S$18:S45)-1)+1),"")</f>
        <v/>
      </c>
      <c r="T45" s="31">
        <f>IFERROR(INDEX('N03-S04'!$BB$88:$BB$199,2*(ROWS(T$18:T45)-1)+1),"")</f>
        <v>0</v>
      </c>
      <c r="U45" s="31" t="str">
        <f>IFERROR(INDEX('N03-S04'!$BG$18:$BG$199,2*(ROWS(U$18:U45)-1)+1),"")</f>
        <v/>
      </c>
      <c r="V45" s="560" t="str">
        <f>IFERROR(INDEX('N03-S04'!$AR$18:$AR$199,2*(ROWS(V$18:V45)-1)+1),"")</f>
        <v/>
      </c>
      <c r="W45" s="204"/>
      <c r="X45" s="204"/>
      <c r="Y45" s="204"/>
      <c r="Z45" s="189"/>
      <c r="AA45" s="189"/>
      <c r="AB45" s="189"/>
      <c r="AC45" s="215"/>
      <c r="AD45" s="215"/>
      <c r="AE45" s="207"/>
      <c r="AF45" s="207"/>
      <c r="AG45" s="216"/>
      <c r="AH45" s="216"/>
      <c r="AI45" s="189"/>
      <c r="AJ45" s="25">
        <f>IFERROR(INDEX('N03-S04'!$BC$18:$BC$199,2*(ROWS(AJ$18:AJ45)-1)+1),"")</f>
        <v>0</v>
      </c>
      <c r="AK45" s="25">
        <f>IFERROR(INDEX('N03-S04'!$BD$18:$BD$199,2*(ROWS(AK$18:AK45)-1)+1),"")</f>
        <v>0</v>
      </c>
      <c r="AL45" s="207"/>
      <c r="AM45" s="207"/>
      <c r="AN45" s="207"/>
      <c r="AO45">
        <f>IFERROR(INDEX('N03-S04'!$B$18:$B$199,2*(ROWS(AO$18:AO45)-1)+1),"")</f>
        <v>28</v>
      </c>
      <c r="AP45" s="189"/>
      <c r="AQ45">
        <f>IFERROR(INDEX('N03-S04'!$C$18:$C$199,2*(ROWS(AQ$18:AQ45)-1)+1),"")</f>
        <v>0</v>
      </c>
      <c r="AR45" t="str" cm="1">
        <f t="array" aca="1" ref="AR45" ca="1">_xlfn.LET( _xlpm.Rows, 2*(ROWS(AS$18:AS45)-1)+1,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MATCH(AY45,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45" s="48" t="str" cm="1">
        <f t="array" aca="1" ref="AS45" ca="1">_xlfn.LET( _xlpm.Rows, 2*(ROWS(AS$18:AS45)-1)+1,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MATCH(AY45,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45" s="204"/>
      <c r="AU45" s="204"/>
      <c r="AV45">
        <f>IFERROR(INDEX('N03-S04'!$AZ$88:$AZ$199,2*(ROWS(AV$18:AV45)-1)+1),"")</f>
        <v>0</v>
      </c>
      <c r="AW45" s="189"/>
      <c r="AX45" t="str">
        <f>IFERROR(INDEX(STDHVAC_N[Reporting Methodology],MATCH(C45,STDHVAC_N[Measure Number],0)),"")</f>
        <v/>
      </c>
      <c r="AY45" s="1" t="str">
        <f>IFERROR(INDEX(STDHVAC_N[Primary Key],MATCH(C45,STDHVAC_N[Measure Number],0)),"")</f>
        <v/>
      </c>
      <c r="AZ45" s="170"/>
      <c r="BA45" s="170"/>
      <c r="BB45" s="170"/>
      <c r="BC45" s="170"/>
      <c r="BD45" s="170"/>
      <c r="BE45" s="170"/>
      <c r="BF45" s="170"/>
      <c r="BG45" s="170"/>
      <c r="BH45" s="170"/>
      <c r="BI45" s="170"/>
      <c r="BJ45" s="170"/>
      <c r="BK45" s="170"/>
    </row>
    <row r="46" spans="1:63">
      <c r="A46" s="14">
        <f t="shared" si="5"/>
        <v>0</v>
      </c>
      <c r="B46" t="str">
        <f t="shared" si="7"/>
        <v/>
      </c>
      <c r="C46" t="str">
        <f>IFERROR(IF(V46&gt;0,INDEX('N03-S04'!$BI$18:$BI$199,2*(ROWS($C$18:C46)-1)+1),""),"")</f>
        <v/>
      </c>
      <c r="D46" t="s">
        <v>50</v>
      </c>
      <c r="E46" t="s">
        <v>38</v>
      </c>
      <c r="F46" t="s">
        <v>849</v>
      </c>
      <c r="G46" t="str">
        <f>IFERROR(INDEX('N03-S04'!$BE$18:$BE$199,2*(ROWS($G46:G46)-1)+1),"")</f>
        <v/>
      </c>
      <c r="H46" s="207"/>
      <c r="I46" s="207"/>
      <c r="J46" s="560">
        <f>IFERROR(ROUND(INDEX('N03-S04'!$AE$18:$AE$199,2*(ROWS(J$18:J46)-1)+1),2),"")</f>
        <v>0</v>
      </c>
      <c r="K46" s="560">
        <f>IFERROR(ROUND(INDEX('N03-S04'!$AG$18:$AG$199,2*(ROWS(K$18:K46)-1)+1),2),"")</f>
        <v>0</v>
      </c>
      <c r="L46" s="13">
        <f>IFERROR(ROUND(INDEX('N03-S04'!$AY$88:$AY$199,2*(ROWS(L$18:L46)-1)+1),2),"")</f>
        <v>0</v>
      </c>
      <c r="N46" s="13" t="str">
        <f>IFERROR(ROUND(INDEX('N03-S04'!$BS$18:$BS$199,2*(ROWS(N$18:N46)-1)+1),2),"")</f>
        <v/>
      </c>
      <c r="O46" s="207"/>
      <c r="P46" s="10">
        <f>IFERROR(ROUND(INDEX('N03-S04'!$V$18:$V$199,2*(ROWS(P$18:P46)-1)+1),3),"")</f>
        <v>0</v>
      </c>
      <c r="Q46" s="10">
        <f>IFERROR(ROUND(INDEX('N03-S04'!$V$18:$V$199,2*(ROWS(Q$18:Q46)-1)+1),3),"")</f>
        <v>0</v>
      </c>
      <c r="R46" s="25">
        <f>IFERROR(INDEX('N03-S04'!$BA$88:$BA$199,2*(ROWS(R$18:R46)-1)+1),"")</f>
        <v>0</v>
      </c>
      <c r="S46" s="25" t="str">
        <f>IFERROR(INDEX('N03-S04'!$BF$18:$BF$199,2*(ROWS(S$18:S46)-1)+1),"")</f>
        <v/>
      </c>
      <c r="T46" s="31">
        <f>IFERROR(INDEX('N03-S04'!$BB$88:$BB$199,2*(ROWS(T$18:T46)-1)+1),"")</f>
        <v>0</v>
      </c>
      <c r="U46" s="31" t="str">
        <f>IFERROR(INDEX('N03-S04'!$BG$18:$BG$199,2*(ROWS(U$18:U46)-1)+1),"")</f>
        <v/>
      </c>
      <c r="V46" s="560" t="str">
        <f>IFERROR(INDEX('N03-S04'!$AR$18:$AR$199,2*(ROWS(V$18:V46)-1)+1),"")</f>
        <v/>
      </c>
      <c r="W46" s="204"/>
      <c r="X46" s="204"/>
      <c r="Y46" s="204"/>
      <c r="Z46" s="189"/>
      <c r="AA46" s="189"/>
      <c r="AB46" s="189"/>
      <c r="AC46" s="215"/>
      <c r="AD46" s="215"/>
      <c r="AE46" s="207"/>
      <c r="AF46" s="207"/>
      <c r="AG46" s="216"/>
      <c r="AH46" s="216"/>
      <c r="AI46" s="189"/>
      <c r="AJ46" s="25">
        <f>IFERROR(INDEX('N03-S04'!$BC$18:$BC$199,2*(ROWS(AJ$18:AJ46)-1)+1),"")</f>
        <v>0</v>
      </c>
      <c r="AK46" s="25">
        <f>IFERROR(INDEX('N03-S04'!$BD$18:$BD$199,2*(ROWS(AK$18:AK46)-1)+1),"")</f>
        <v>0</v>
      </c>
      <c r="AL46" s="207"/>
      <c r="AM46" s="207"/>
      <c r="AN46" s="207"/>
      <c r="AO46">
        <f>IFERROR(INDEX('N03-S04'!$B$18:$B$199,2*(ROWS(AO$18:AO46)-1)+1),"")</f>
        <v>29</v>
      </c>
      <c r="AP46" s="189"/>
      <c r="AQ46">
        <f>IFERROR(INDEX('N03-S04'!$C$18:$C$199,2*(ROWS(AQ$18:AQ46)-1)+1),"")</f>
        <v>0</v>
      </c>
      <c r="AR46" t="str" cm="1">
        <f t="array" aca="1" ref="AR46" ca="1">_xlfn.LET( _xlpm.Rows, 2*(ROWS(AS$18:AS46)-1)+1,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MATCH(AY46,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46" s="48" t="str" cm="1">
        <f t="array" aca="1" ref="AS46" ca="1">_xlfn.LET( _xlpm.Rows, 2*(ROWS(AS$18:AS46)-1)+1,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MATCH(AY46,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46" s="204"/>
      <c r="AU46" s="204"/>
      <c r="AV46">
        <f>IFERROR(INDEX('N03-S04'!$AZ$88:$AZ$199,2*(ROWS(AV$18:AV46)-1)+1),"")</f>
        <v>0</v>
      </c>
      <c r="AW46" s="189"/>
      <c r="AX46" t="str">
        <f>IFERROR(INDEX(STDHVAC_N[Reporting Methodology],MATCH(C46,STDHVAC_N[Measure Number],0)),"")</f>
        <v/>
      </c>
      <c r="AY46" s="1" t="str">
        <f>IFERROR(INDEX(STDHVAC_N[Primary Key],MATCH(C46,STDHVAC_N[Measure Number],0)),"")</f>
        <v/>
      </c>
      <c r="AZ46" s="170"/>
      <c r="BA46" s="170"/>
      <c r="BB46" s="170"/>
      <c r="BC46" s="170"/>
      <c r="BD46" s="170"/>
      <c r="BE46" s="170"/>
      <c r="BF46" s="170"/>
      <c r="BG46" s="170"/>
      <c r="BH46" s="170"/>
      <c r="BI46" s="170"/>
      <c r="BJ46" s="170"/>
      <c r="BK46" s="170"/>
    </row>
    <row r="47" spans="1:63">
      <c r="A47" s="14">
        <f t="shared" si="5"/>
        <v>0</v>
      </c>
      <c r="B47" t="str">
        <f t="shared" si="7"/>
        <v/>
      </c>
      <c r="C47" t="str">
        <f>IFERROR(IF(V47&gt;0,INDEX('N03-S04'!$BI$18:$BI$199,2*(ROWS($C$18:C47)-1)+1),""),"")</f>
        <v/>
      </c>
      <c r="D47" t="s">
        <v>50</v>
      </c>
      <c r="E47" t="s">
        <v>38</v>
      </c>
      <c r="F47" t="s">
        <v>849</v>
      </c>
      <c r="G47" t="str">
        <f>IFERROR(INDEX('N03-S04'!$BE$18:$BE$199,2*(ROWS($G47:G47)-1)+1),"")</f>
        <v/>
      </c>
      <c r="H47" s="207"/>
      <c r="I47" s="207"/>
      <c r="J47" s="560">
        <f>IFERROR(ROUND(INDEX('N03-S04'!$AE$18:$AE$199,2*(ROWS(J$18:J47)-1)+1),2),"")</f>
        <v>0</v>
      </c>
      <c r="K47" s="560">
        <f>IFERROR(ROUND(INDEX('N03-S04'!$AG$18:$AG$199,2*(ROWS(K$18:K47)-1)+1),2),"")</f>
        <v>0</v>
      </c>
      <c r="L47" s="13">
        <f>IFERROR(ROUND(INDEX('N03-S04'!$AY$88:$AY$199,2*(ROWS(L$18:L47)-1)+1),2),"")</f>
        <v>0</v>
      </c>
      <c r="N47" s="13" t="str">
        <f>IFERROR(ROUND(INDEX('N03-S04'!$BS$18:$BS$199,2*(ROWS(N$18:N47)-1)+1),2),"")</f>
        <v/>
      </c>
      <c r="O47" s="207"/>
      <c r="P47" s="10">
        <f>IFERROR(ROUND(INDEX('N03-S04'!$V$18:$V$199,2*(ROWS(P$18:P47)-1)+1),3),"")</f>
        <v>0</v>
      </c>
      <c r="Q47" s="10">
        <f>IFERROR(ROUND(INDEX('N03-S04'!$V$18:$V$199,2*(ROWS(Q$18:Q47)-1)+1),3),"")</f>
        <v>0</v>
      </c>
      <c r="R47" s="25">
        <f>IFERROR(INDEX('N03-S04'!$BA$88:$BA$199,2*(ROWS(R$18:R47)-1)+1),"")</f>
        <v>0</v>
      </c>
      <c r="S47" s="25" t="str">
        <f>IFERROR(INDEX('N03-S04'!$BF$18:$BF$199,2*(ROWS(S$18:S47)-1)+1),"")</f>
        <v/>
      </c>
      <c r="T47" s="31">
        <f>IFERROR(INDEX('N03-S04'!$BB$88:$BB$199,2*(ROWS(T$18:T47)-1)+1),"")</f>
        <v>0</v>
      </c>
      <c r="U47" s="31" t="str">
        <f>IFERROR(INDEX('N03-S04'!$BG$18:$BG$199,2*(ROWS(U$18:U47)-1)+1),"")</f>
        <v/>
      </c>
      <c r="V47" s="560" t="str">
        <f>IFERROR(INDEX('N03-S04'!$AR$18:$AR$199,2*(ROWS(V$18:V47)-1)+1),"")</f>
        <v/>
      </c>
      <c r="W47" s="204"/>
      <c r="X47" s="204"/>
      <c r="Y47" s="204"/>
      <c r="Z47" s="189"/>
      <c r="AA47" s="189"/>
      <c r="AB47" s="189"/>
      <c r="AC47" s="215"/>
      <c r="AD47" s="215"/>
      <c r="AE47" s="207"/>
      <c r="AF47" s="207"/>
      <c r="AG47" s="216"/>
      <c r="AH47" s="216"/>
      <c r="AI47" s="189"/>
      <c r="AJ47" s="25">
        <f>IFERROR(INDEX('N03-S04'!$BC$18:$BC$199,2*(ROWS(AJ$18:AJ47)-1)+1),"")</f>
        <v>0</v>
      </c>
      <c r="AK47" s="25">
        <f>IFERROR(INDEX('N03-S04'!$BD$18:$BD$199,2*(ROWS(AK$18:AK47)-1)+1),"")</f>
        <v>0</v>
      </c>
      <c r="AL47" s="207"/>
      <c r="AM47" s="207"/>
      <c r="AN47" s="207"/>
      <c r="AO47">
        <f>IFERROR(INDEX('N03-S04'!$B$18:$B$199,2*(ROWS(AO$18:AO47)-1)+1),"")</f>
        <v>30</v>
      </c>
      <c r="AP47" s="189"/>
      <c r="AQ47">
        <f>IFERROR(INDEX('N03-S04'!$C$18:$C$199,2*(ROWS(AQ$18:AQ47)-1)+1),"")</f>
        <v>0</v>
      </c>
      <c r="AR47" t="str" cm="1">
        <f t="array" aca="1" ref="AR47" ca="1">_xlfn.LET( _xlpm.Rows, 2*(ROWS(AS$18:AS47)-1)+1,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MATCH(AY47,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47" s="48" t="str" cm="1">
        <f t="array" aca="1" ref="AS47" ca="1">_xlfn.LET( _xlpm.Rows, 2*(ROWS(AS$18:AS47)-1)+1,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MATCH(AY47,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47" s="204"/>
      <c r="AU47" s="204"/>
      <c r="AV47">
        <f>IFERROR(INDEX('N03-S04'!$AZ$88:$AZ$199,2*(ROWS(AV$18:AV47)-1)+1),"")</f>
        <v>0</v>
      </c>
      <c r="AW47" s="189"/>
      <c r="AX47" t="str">
        <f>IFERROR(INDEX(STDHVAC_N[Reporting Methodology],MATCH(C47,STDHVAC_N[Measure Number],0)),"")</f>
        <v/>
      </c>
      <c r="AY47" s="1" t="str">
        <f>IFERROR(INDEX(STDHVAC_N[Primary Key],MATCH(C47,STDHVAC_N[Measure Number],0)),"")</f>
        <v/>
      </c>
      <c r="AZ47" s="170"/>
      <c r="BA47" s="170"/>
      <c r="BB47" s="170"/>
      <c r="BC47" s="170"/>
      <c r="BD47" s="170"/>
      <c r="BE47" s="170"/>
      <c r="BF47" s="170"/>
      <c r="BG47" s="170"/>
      <c r="BH47" s="170"/>
      <c r="BI47" s="170"/>
      <c r="BJ47" s="170"/>
      <c r="BK47" s="170"/>
    </row>
    <row r="48" spans="1:63">
      <c r="A48" s="14">
        <f t="shared" si="5"/>
        <v>0</v>
      </c>
      <c r="B48" t="str">
        <f t="shared" si="7"/>
        <v/>
      </c>
      <c r="C48" t="str">
        <f>IFERROR(IF(V48&gt;0,INDEX('N03-S04'!$BI$18:$BI$199,2*(ROWS($C$18:C48)-1)+1),""),"")</f>
        <v/>
      </c>
      <c r="D48" t="s">
        <v>50</v>
      </c>
      <c r="E48" t="s">
        <v>38</v>
      </c>
      <c r="F48" t="s">
        <v>849</v>
      </c>
      <c r="G48" t="str">
        <f>IFERROR(INDEX('N03-S04'!$BE$18:$BE$199,2*(ROWS($G48:G48)-1)+1),"")</f>
        <v/>
      </c>
      <c r="H48" s="207"/>
      <c r="I48" s="207"/>
      <c r="J48" s="560">
        <f>IFERROR(ROUND(INDEX('N03-S04'!$AE$18:$AE$199,2*(ROWS(J$18:J48)-1)+1),2),"")</f>
        <v>0</v>
      </c>
      <c r="K48" s="560">
        <f>IFERROR(ROUND(INDEX('N03-S04'!$AG$18:$AG$199,2*(ROWS(K$18:K48)-1)+1),2),"")</f>
        <v>0</v>
      </c>
      <c r="L48" s="13">
        <f>IFERROR(ROUND(INDEX('N03-S04'!$AY$88:$AY$199,2*(ROWS(L$18:L48)-1)+1),2),"")</f>
        <v>0</v>
      </c>
      <c r="N48" s="13" t="str">
        <f>IFERROR(ROUND(INDEX('N03-S04'!$BS$18:$BS$199,2*(ROWS(N$18:N48)-1)+1),2),"")</f>
        <v/>
      </c>
      <c r="O48" s="207"/>
      <c r="P48" s="10">
        <f>IFERROR(ROUND(INDEX('N03-S04'!$V$18:$V$199,2*(ROWS(P$18:P48)-1)+1),3),"")</f>
        <v>0</v>
      </c>
      <c r="Q48" s="10">
        <f>IFERROR(ROUND(INDEX('N03-S04'!$V$18:$V$199,2*(ROWS(Q$18:Q48)-1)+1),3),"")</f>
        <v>0</v>
      </c>
      <c r="R48" s="25">
        <f>IFERROR(INDEX('N03-S04'!$BA$88:$BA$199,2*(ROWS(R$18:R48)-1)+1),"")</f>
        <v>0</v>
      </c>
      <c r="S48" s="25" t="str">
        <f>IFERROR(INDEX('N03-S04'!$BF$18:$BF$199,2*(ROWS(S$18:S48)-1)+1),"")</f>
        <v/>
      </c>
      <c r="T48" s="31">
        <f>IFERROR(INDEX('N03-S04'!$BB$88:$BB$199,2*(ROWS(T$18:T48)-1)+1),"")</f>
        <v>0</v>
      </c>
      <c r="U48" s="31" t="str">
        <f>IFERROR(INDEX('N03-S04'!$BG$18:$BG$199,2*(ROWS(U$18:U48)-1)+1),"")</f>
        <v/>
      </c>
      <c r="V48" s="560" t="str">
        <f>IFERROR(INDEX('N03-S04'!$AR$18:$AR$199,2*(ROWS(V$18:V48)-1)+1),"")</f>
        <v/>
      </c>
      <c r="W48" s="204"/>
      <c r="X48" s="204"/>
      <c r="Y48" s="204"/>
      <c r="Z48" s="189"/>
      <c r="AA48" s="189"/>
      <c r="AB48" s="189"/>
      <c r="AC48" s="215"/>
      <c r="AD48" s="215"/>
      <c r="AE48" s="207"/>
      <c r="AF48" s="207"/>
      <c r="AG48" s="216"/>
      <c r="AH48" s="216"/>
      <c r="AI48" s="189"/>
      <c r="AJ48" s="25">
        <f>IFERROR(INDEX('N03-S04'!$BC$18:$BC$199,2*(ROWS(AJ$18:AJ48)-1)+1),"")</f>
        <v>0</v>
      </c>
      <c r="AK48" s="25">
        <f>IFERROR(INDEX('N03-S04'!$BD$18:$BD$199,2*(ROWS(AK$18:AK48)-1)+1),"")</f>
        <v>0</v>
      </c>
      <c r="AL48" s="207"/>
      <c r="AM48" s="207"/>
      <c r="AN48" s="207"/>
      <c r="AO48">
        <f>IFERROR(INDEX('N03-S04'!$B$18:$B$199,2*(ROWS(AO$18:AO48)-1)+1),"")</f>
        <v>31</v>
      </c>
      <c r="AP48" s="189"/>
      <c r="AQ48">
        <f>IFERROR(INDEX('N03-S04'!$C$18:$C$199,2*(ROWS(AQ$18:AQ48)-1)+1),"")</f>
        <v>0</v>
      </c>
      <c r="AR48" t="str" cm="1">
        <f t="array" aca="1" ref="AR48" ca="1">_xlfn.LET( _xlpm.Rows, 2*(ROWS(AS$18:AS48)-1)+1,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MATCH(AY48,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48" s="48" t="str" cm="1">
        <f t="array" aca="1" ref="AS48" ca="1">_xlfn.LET( _xlpm.Rows, 2*(ROWS(AS$18:AS48)-1)+1,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MATCH(AY48,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48" s="204"/>
      <c r="AU48" s="204"/>
      <c r="AV48">
        <f>IFERROR(INDEX('N03-S04'!$AZ$88:$AZ$199,2*(ROWS(AV$18:AV48)-1)+1),"")</f>
        <v>0</v>
      </c>
      <c r="AW48" s="189"/>
      <c r="AX48" t="str">
        <f>IFERROR(INDEX(STDHVAC_N[Reporting Methodology],MATCH(C48,STDHVAC_N[Measure Number],0)),"")</f>
        <v/>
      </c>
      <c r="AY48" s="1" t="str">
        <f>IFERROR(INDEX(STDHVAC_N[Primary Key],MATCH(C48,STDHVAC_N[Measure Number],0)),"")</f>
        <v/>
      </c>
      <c r="AZ48" s="170"/>
      <c r="BA48" s="170"/>
      <c r="BB48" s="170"/>
      <c r="BC48" s="170"/>
      <c r="BD48" s="170"/>
      <c r="BE48" s="170"/>
      <c r="BF48" s="170"/>
      <c r="BG48" s="170"/>
      <c r="BH48" s="170"/>
      <c r="BI48" s="170"/>
      <c r="BJ48" s="170"/>
      <c r="BK48" s="170"/>
    </row>
    <row r="49" spans="1:63">
      <c r="A49" s="14">
        <f t="shared" si="5"/>
        <v>0</v>
      </c>
      <c r="B49" t="str">
        <f t="shared" si="7"/>
        <v/>
      </c>
      <c r="C49" t="str">
        <f>IFERROR(IF(V49&gt;0,INDEX('N03-S04'!$BI$18:$BI$199,2*(ROWS($C$18:C49)-1)+1),""),"")</f>
        <v/>
      </c>
      <c r="D49" t="s">
        <v>50</v>
      </c>
      <c r="E49" t="s">
        <v>38</v>
      </c>
      <c r="F49" t="s">
        <v>849</v>
      </c>
      <c r="G49" t="str">
        <f>IFERROR(INDEX('N03-S04'!$BE$18:$BE$199,2*(ROWS($G49:G49)-1)+1),"")</f>
        <v/>
      </c>
      <c r="H49" s="207"/>
      <c r="I49" s="207"/>
      <c r="J49" s="560">
        <f>IFERROR(ROUND(INDEX('N03-S04'!$AE$18:$AE$199,2*(ROWS(J$18:J49)-1)+1),2),"")</f>
        <v>0</v>
      </c>
      <c r="K49" s="560">
        <f>IFERROR(ROUND(INDEX('N03-S04'!$AG$18:$AG$199,2*(ROWS(K$18:K49)-1)+1),2),"")</f>
        <v>0</v>
      </c>
      <c r="L49" s="13">
        <f>IFERROR(ROUND(INDEX('N03-S04'!$AY$88:$AY$199,2*(ROWS(L$18:L49)-1)+1),2),"")</f>
        <v>0</v>
      </c>
      <c r="N49" s="13" t="str">
        <f>IFERROR(ROUND(INDEX('N03-S04'!$BS$18:$BS$199,2*(ROWS(N$18:N49)-1)+1),2),"")</f>
        <v/>
      </c>
      <c r="O49" s="207"/>
      <c r="P49" s="10">
        <f>IFERROR(ROUND(INDEX('N03-S04'!$V$18:$V$199,2*(ROWS(P$18:P49)-1)+1),3),"")</f>
        <v>0</v>
      </c>
      <c r="Q49" s="10">
        <f>IFERROR(ROUND(INDEX('N03-S04'!$V$18:$V$199,2*(ROWS(Q$18:Q49)-1)+1),3),"")</f>
        <v>0</v>
      </c>
      <c r="R49" s="25">
        <f>IFERROR(INDEX('N03-S04'!$BA$88:$BA$199,2*(ROWS(R$18:R49)-1)+1),"")</f>
        <v>0</v>
      </c>
      <c r="S49" s="25" t="str">
        <f>IFERROR(INDEX('N03-S04'!$BF$18:$BF$199,2*(ROWS(S$18:S49)-1)+1),"")</f>
        <v/>
      </c>
      <c r="T49" s="31">
        <f>IFERROR(INDEX('N03-S04'!$BB$88:$BB$199,2*(ROWS(T$18:T49)-1)+1),"")</f>
        <v>0</v>
      </c>
      <c r="U49" s="31" t="str">
        <f>IFERROR(INDEX('N03-S04'!$BG$18:$BG$199,2*(ROWS(U$18:U49)-1)+1),"")</f>
        <v/>
      </c>
      <c r="V49" s="560" t="str">
        <f>IFERROR(INDEX('N03-S04'!$AR$18:$AR$199,2*(ROWS(V$18:V49)-1)+1),"")</f>
        <v/>
      </c>
      <c r="W49" s="204"/>
      <c r="X49" s="204"/>
      <c r="Y49" s="204"/>
      <c r="Z49" s="189"/>
      <c r="AA49" s="189"/>
      <c r="AB49" s="189"/>
      <c r="AC49" s="215"/>
      <c r="AD49" s="215"/>
      <c r="AE49" s="207"/>
      <c r="AF49" s="207"/>
      <c r="AG49" s="216"/>
      <c r="AH49" s="216"/>
      <c r="AI49" s="189"/>
      <c r="AJ49" s="25">
        <f>IFERROR(INDEX('N03-S04'!$BC$18:$BC$199,2*(ROWS(AJ$18:AJ49)-1)+1),"")</f>
        <v>0</v>
      </c>
      <c r="AK49" s="25">
        <f>IFERROR(INDEX('N03-S04'!$BD$18:$BD$199,2*(ROWS(AK$18:AK49)-1)+1),"")</f>
        <v>0</v>
      </c>
      <c r="AL49" s="207"/>
      <c r="AM49" s="207"/>
      <c r="AN49" s="207"/>
      <c r="AO49">
        <f>IFERROR(INDEX('N03-S04'!$B$18:$B$199,2*(ROWS(AO$18:AO49)-1)+1),"")</f>
        <v>32</v>
      </c>
      <c r="AP49" s="189"/>
      <c r="AQ49">
        <f>IFERROR(INDEX('N03-S04'!$C$18:$C$199,2*(ROWS(AQ$18:AQ49)-1)+1),"")</f>
        <v>0</v>
      </c>
      <c r="AR49" t="str" cm="1">
        <f t="array" aca="1" ref="AR49" ca="1">_xlfn.LET( _xlpm.Rows, 2*(ROWS(AS$18:AS49)-1)+1,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MATCH(AY49,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49" s="48" t="str" cm="1">
        <f t="array" aca="1" ref="AS49" ca="1">_xlfn.LET( _xlpm.Rows, 2*(ROWS(AS$18:AS49)-1)+1,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MATCH(AY49,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49" s="204"/>
      <c r="AU49" s="204"/>
      <c r="AV49">
        <f>IFERROR(INDEX('N03-S04'!$AZ$88:$AZ$199,2*(ROWS(AV$18:AV49)-1)+1),"")</f>
        <v>0</v>
      </c>
      <c r="AW49" s="189"/>
      <c r="AX49" t="str">
        <f>IFERROR(INDEX(STDHVAC_N[Reporting Methodology],MATCH(C49,STDHVAC_N[Measure Number],0)),"")</f>
        <v/>
      </c>
      <c r="AY49" s="1" t="str">
        <f>IFERROR(INDEX(STDHVAC_N[Primary Key],MATCH(C49,STDHVAC_N[Measure Number],0)),"")</f>
        <v/>
      </c>
      <c r="AZ49" s="170"/>
      <c r="BA49" s="170"/>
      <c r="BB49" s="170"/>
      <c r="BC49" s="170"/>
      <c r="BD49" s="170"/>
      <c r="BE49" s="170"/>
      <c r="BF49" s="170"/>
      <c r="BG49" s="170"/>
      <c r="BH49" s="170"/>
      <c r="BI49" s="170"/>
      <c r="BJ49" s="170"/>
      <c r="BK49" s="170"/>
    </row>
    <row r="50" spans="1:63">
      <c r="A50" s="14">
        <f t="shared" si="5"/>
        <v>0</v>
      </c>
      <c r="B50" t="str">
        <f t="shared" si="7"/>
        <v/>
      </c>
      <c r="C50" t="str">
        <f>IFERROR(IF(V50&gt;0,INDEX('N03-S04'!$BI$18:$BI$199,2*(ROWS($C$18:C50)-1)+1),""),"")</f>
        <v/>
      </c>
      <c r="D50" t="s">
        <v>50</v>
      </c>
      <c r="E50" t="s">
        <v>38</v>
      </c>
      <c r="F50" t="s">
        <v>849</v>
      </c>
      <c r="G50" t="str">
        <f>IFERROR(INDEX('N03-S04'!$BE$18:$BE$199,2*(ROWS($G50:G50)-1)+1),"")</f>
        <v/>
      </c>
      <c r="H50" s="207"/>
      <c r="I50" s="207"/>
      <c r="J50" s="560">
        <f>IFERROR(ROUND(INDEX('N03-S04'!$AE$18:$AE$199,2*(ROWS(J$18:J50)-1)+1),2),"")</f>
        <v>0</v>
      </c>
      <c r="K50" s="560">
        <f>IFERROR(ROUND(INDEX('N03-S04'!$AG$18:$AG$199,2*(ROWS(K$18:K50)-1)+1),2),"")</f>
        <v>0</v>
      </c>
      <c r="L50" s="13">
        <f>IFERROR(ROUND(INDEX('N03-S04'!$AY$88:$AY$199,2*(ROWS(L$18:L50)-1)+1),2),"")</f>
        <v>0</v>
      </c>
      <c r="N50" s="13" t="str">
        <f>IFERROR(ROUND(INDEX('N03-S04'!$BS$18:$BS$199,2*(ROWS(N$18:N50)-1)+1),2),"")</f>
        <v/>
      </c>
      <c r="O50" s="207"/>
      <c r="P50" s="10">
        <f>IFERROR(ROUND(INDEX('N03-S04'!$V$18:$V$199,2*(ROWS(P$18:P50)-1)+1),3),"")</f>
        <v>0</v>
      </c>
      <c r="Q50" s="10">
        <f>IFERROR(ROUND(INDEX('N03-S04'!$V$18:$V$199,2*(ROWS(Q$18:Q50)-1)+1),3),"")</f>
        <v>0</v>
      </c>
      <c r="R50" s="25">
        <f>IFERROR(INDEX('N03-S04'!$BA$88:$BA$199,2*(ROWS(R$18:R50)-1)+1),"")</f>
        <v>0</v>
      </c>
      <c r="S50" s="25" t="str">
        <f>IFERROR(INDEX('N03-S04'!$BF$18:$BF$199,2*(ROWS(S$18:S50)-1)+1),"")</f>
        <v/>
      </c>
      <c r="T50" s="31">
        <f>IFERROR(INDEX('N03-S04'!$BB$88:$BB$199,2*(ROWS(T$18:T50)-1)+1),"")</f>
        <v>0</v>
      </c>
      <c r="U50" s="31" t="str">
        <f>IFERROR(INDEX('N03-S04'!$BG$18:$BG$199,2*(ROWS(U$18:U50)-1)+1),"")</f>
        <v/>
      </c>
      <c r="V50" s="560" t="str">
        <f>IFERROR(INDEX('N03-S04'!$AR$18:$AR$199,2*(ROWS(V$18:V50)-1)+1),"")</f>
        <v/>
      </c>
      <c r="W50" s="204"/>
      <c r="X50" s="204"/>
      <c r="Y50" s="204"/>
      <c r="Z50" s="189"/>
      <c r="AA50" s="189"/>
      <c r="AB50" s="189"/>
      <c r="AC50" s="215"/>
      <c r="AD50" s="215"/>
      <c r="AE50" s="207"/>
      <c r="AF50" s="207"/>
      <c r="AG50" s="216"/>
      <c r="AH50" s="216"/>
      <c r="AI50" s="189"/>
      <c r="AJ50" s="25">
        <f>IFERROR(INDEX('N03-S04'!$BC$18:$BC$199,2*(ROWS(AJ$18:AJ50)-1)+1),"")</f>
        <v>0</v>
      </c>
      <c r="AK50" s="25">
        <f>IFERROR(INDEX('N03-S04'!$BD$18:$BD$199,2*(ROWS(AK$18:AK50)-1)+1),"")</f>
        <v>0</v>
      </c>
      <c r="AL50" s="207"/>
      <c r="AM50" s="207"/>
      <c r="AN50" s="207"/>
      <c r="AO50">
        <f>IFERROR(INDEX('N03-S04'!$B$18:$B$199,2*(ROWS(AO$18:AO50)-1)+1),"")</f>
        <v>33</v>
      </c>
      <c r="AP50" s="189"/>
      <c r="AQ50">
        <f>IFERROR(INDEX('N03-S04'!$C$18:$C$199,2*(ROWS(AQ$18:AQ50)-1)+1),"")</f>
        <v>0</v>
      </c>
      <c r="AR50" t="str" cm="1">
        <f t="array" aca="1" ref="AR50" ca="1">_xlfn.LET( _xlpm.Rows, 2*(ROWS(AS$18:AS50)-1)+1,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MATCH(AY50,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50" s="48" t="str" cm="1">
        <f t="array" aca="1" ref="AS50" ca="1">_xlfn.LET( _xlpm.Rows, 2*(ROWS(AS$18:AS50)-1)+1,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MATCH(AY50,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50" s="204"/>
      <c r="AU50" s="204"/>
      <c r="AV50">
        <f>IFERROR(INDEX('N03-S04'!$AZ$88:$AZ$199,2*(ROWS(AV$18:AV50)-1)+1),"")</f>
        <v>0</v>
      </c>
      <c r="AW50" s="189"/>
      <c r="AX50" t="str">
        <f>IFERROR(INDEX(STDHVAC_N[Reporting Methodology],MATCH(C50,STDHVAC_N[Measure Number],0)),"")</f>
        <v/>
      </c>
      <c r="AY50" s="1" t="str">
        <f>IFERROR(INDEX(STDHVAC_N[Primary Key],MATCH(C50,STDHVAC_N[Measure Number],0)),"")</f>
        <v/>
      </c>
      <c r="AZ50" s="170"/>
      <c r="BA50" s="170"/>
      <c r="BB50" s="170"/>
      <c r="BC50" s="170"/>
      <c r="BD50" s="170"/>
      <c r="BE50" s="170"/>
      <c r="BF50" s="170"/>
      <c r="BG50" s="170"/>
      <c r="BH50" s="170"/>
      <c r="BI50" s="170"/>
      <c r="BJ50" s="170"/>
      <c r="BK50" s="170"/>
    </row>
    <row r="51" spans="1:63">
      <c r="A51" s="14">
        <f t="shared" si="5"/>
        <v>0</v>
      </c>
      <c r="B51" t="str">
        <f t="shared" si="7"/>
        <v/>
      </c>
      <c r="C51" t="str">
        <f>IFERROR(IF(V51&gt;0,INDEX('N03-S04'!$BI$18:$BI$199,2*(ROWS($C$18:C51)-1)+1),""),"")</f>
        <v/>
      </c>
      <c r="D51" t="s">
        <v>50</v>
      </c>
      <c r="E51" t="s">
        <v>38</v>
      </c>
      <c r="F51" t="s">
        <v>849</v>
      </c>
      <c r="G51" t="str">
        <f>IFERROR(INDEX('N03-S04'!$BE$18:$BE$199,2*(ROWS($G51:G51)-1)+1),"")</f>
        <v/>
      </c>
      <c r="H51" s="207"/>
      <c r="I51" s="207"/>
      <c r="J51" s="560">
        <f>IFERROR(ROUND(INDEX('N03-S04'!$AE$18:$AE$199,2*(ROWS(J$18:J51)-1)+1),2),"")</f>
        <v>0</v>
      </c>
      <c r="K51" s="560">
        <f>IFERROR(ROUND(INDEX('N03-S04'!$AG$18:$AG$199,2*(ROWS(K$18:K51)-1)+1),2),"")</f>
        <v>0</v>
      </c>
      <c r="L51" s="13">
        <f>IFERROR(ROUND(INDEX('N03-S04'!$AY$88:$AY$199,2*(ROWS(L$18:L51)-1)+1),2),"")</f>
        <v>0</v>
      </c>
      <c r="N51" s="13" t="str">
        <f>IFERROR(ROUND(INDEX('N03-S04'!$BS$18:$BS$199,2*(ROWS(N$18:N51)-1)+1),2),"")</f>
        <v/>
      </c>
      <c r="O51" s="207"/>
      <c r="P51" s="10">
        <f>IFERROR(ROUND(INDEX('N03-S04'!$V$18:$V$199,2*(ROWS(P$18:P51)-1)+1),3),"")</f>
        <v>0</v>
      </c>
      <c r="Q51" s="10">
        <f>IFERROR(ROUND(INDEX('N03-S04'!$V$18:$V$199,2*(ROWS(Q$18:Q51)-1)+1),3),"")</f>
        <v>0</v>
      </c>
      <c r="R51" s="25">
        <f>IFERROR(INDEX('N03-S04'!$BA$88:$BA$199,2*(ROWS(R$18:R51)-1)+1),"")</f>
        <v>0</v>
      </c>
      <c r="S51" s="25" t="str">
        <f>IFERROR(INDEX('N03-S04'!$BF$18:$BF$199,2*(ROWS(S$18:S51)-1)+1),"")</f>
        <v/>
      </c>
      <c r="T51" s="31">
        <f>IFERROR(INDEX('N03-S04'!$BB$88:$BB$199,2*(ROWS(T$18:T51)-1)+1),"")</f>
        <v>0</v>
      </c>
      <c r="U51" s="31" t="str">
        <f>IFERROR(INDEX('N03-S04'!$BG$18:$BG$199,2*(ROWS(U$18:U51)-1)+1),"")</f>
        <v/>
      </c>
      <c r="V51" s="560" t="str">
        <f>IFERROR(INDEX('N03-S04'!$AR$18:$AR$199,2*(ROWS(V$18:V51)-1)+1),"")</f>
        <v/>
      </c>
      <c r="W51" s="204"/>
      <c r="X51" s="204"/>
      <c r="Y51" s="204"/>
      <c r="Z51" s="189"/>
      <c r="AA51" s="189"/>
      <c r="AB51" s="189"/>
      <c r="AC51" s="215"/>
      <c r="AD51" s="215"/>
      <c r="AE51" s="207"/>
      <c r="AF51" s="207"/>
      <c r="AG51" s="216"/>
      <c r="AH51" s="216"/>
      <c r="AI51" s="189"/>
      <c r="AJ51" s="25">
        <f>IFERROR(INDEX('N03-S04'!$BC$18:$BC$199,2*(ROWS(AJ$18:AJ51)-1)+1),"")</f>
        <v>0</v>
      </c>
      <c r="AK51" s="25">
        <f>IFERROR(INDEX('N03-S04'!$BD$18:$BD$199,2*(ROWS(AK$18:AK51)-1)+1),"")</f>
        <v>0</v>
      </c>
      <c r="AL51" s="207"/>
      <c r="AM51" s="207"/>
      <c r="AN51" s="207"/>
      <c r="AO51">
        <f>IFERROR(INDEX('N03-S04'!$B$18:$B$199,2*(ROWS(AO$18:AO51)-1)+1),"")</f>
        <v>34</v>
      </c>
      <c r="AP51" s="189"/>
      <c r="AQ51">
        <f>IFERROR(INDEX('N03-S04'!$C$18:$C$199,2*(ROWS(AQ$18:AQ51)-1)+1),"")</f>
        <v>0</v>
      </c>
      <c r="AR51" t="str" cm="1">
        <f t="array" aca="1" ref="AR51" ca="1">_xlfn.LET( _xlpm.Rows, 2*(ROWS(AS$18:AS51)-1)+1,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MATCH(AY51,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51" s="48" t="str" cm="1">
        <f t="array" aca="1" ref="AS51" ca="1">_xlfn.LET( _xlpm.Rows, 2*(ROWS(AS$18:AS51)-1)+1,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MATCH(AY51,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51" s="204"/>
      <c r="AU51" s="204"/>
      <c r="AV51">
        <f>IFERROR(INDEX('N03-S04'!$AZ$88:$AZ$199,2*(ROWS(AV$18:AV51)-1)+1),"")</f>
        <v>0</v>
      </c>
      <c r="AW51" s="189"/>
      <c r="AX51" t="str">
        <f>IFERROR(INDEX(STDHVAC_N[Reporting Methodology],MATCH(C51,STDHVAC_N[Measure Number],0)),"")</f>
        <v/>
      </c>
      <c r="AY51" s="1" t="str">
        <f>IFERROR(INDEX(STDHVAC_N[Primary Key],MATCH(C51,STDHVAC_N[Measure Number],0)),"")</f>
        <v/>
      </c>
      <c r="AZ51" s="170"/>
      <c r="BA51" s="170"/>
      <c r="BB51" s="170"/>
      <c r="BC51" s="170"/>
      <c r="BD51" s="170"/>
      <c r="BE51" s="170"/>
      <c r="BF51" s="170"/>
      <c r="BG51" s="170"/>
      <c r="BH51" s="170"/>
      <c r="BI51" s="170"/>
      <c r="BJ51" s="170"/>
      <c r="BK51" s="170"/>
    </row>
    <row r="52" spans="1:63">
      <c r="A52" s="14">
        <f t="shared" si="5"/>
        <v>0</v>
      </c>
      <c r="B52" t="str">
        <f t="shared" si="7"/>
        <v/>
      </c>
      <c r="C52" t="str">
        <f>IFERROR(IF(V52&gt;0,INDEX('N03-S04'!$BI$18:$BI$199,2*(ROWS($C$18:C52)-1)+1),""),"")</f>
        <v/>
      </c>
      <c r="D52" t="s">
        <v>50</v>
      </c>
      <c r="E52" t="s">
        <v>38</v>
      </c>
      <c r="F52" t="s">
        <v>849</v>
      </c>
      <c r="G52" t="str">
        <f>IFERROR(INDEX('N03-S04'!$BE$18:$BE$199,2*(ROWS($G52:G52)-1)+1),"")</f>
        <v/>
      </c>
      <c r="H52" s="207"/>
      <c r="I52" s="207"/>
      <c r="J52" s="560">
        <f>IFERROR(ROUND(INDEX('N03-S04'!$AE$18:$AE$199,2*(ROWS(J$18:J52)-1)+1),2),"")</f>
        <v>0</v>
      </c>
      <c r="K52" s="560">
        <f>IFERROR(ROUND(INDEX('N03-S04'!$AG$18:$AG$199,2*(ROWS(K$18:K52)-1)+1),2),"")</f>
        <v>0</v>
      </c>
      <c r="L52" s="13">
        <f>IFERROR(ROUND(INDEX('N03-S04'!$AY$88:$AY$199,2*(ROWS(L$18:L52)-1)+1),2),"")</f>
        <v>0</v>
      </c>
      <c r="N52" s="13" t="str">
        <f>IFERROR(ROUND(INDEX('N03-S04'!$BS$18:$BS$199,2*(ROWS(N$18:N52)-1)+1),2),"")</f>
        <v/>
      </c>
      <c r="O52" s="207"/>
      <c r="P52" s="10">
        <f>IFERROR(ROUND(INDEX('N03-S04'!$V$18:$V$199,2*(ROWS(P$18:P52)-1)+1),3),"")</f>
        <v>0</v>
      </c>
      <c r="Q52" s="10">
        <f>IFERROR(ROUND(INDEX('N03-S04'!$V$18:$V$199,2*(ROWS(Q$18:Q52)-1)+1),3),"")</f>
        <v>0</v>
      </c>
      <c r="R52" s="25">
        <f>IFERROR(INDEX('N03-S04'!$BA$88:$BA$199,2*(ROWS(R$18:R52)-1)+1),"")</f>
        <v>0</v>
      </c>
      <c r="S52" s="25" t="str">
        <f>IFERROR(INDEX('N03-S04'!$BF$18:$BF$199,2*(ROWS(S$18:S52)-1)+1),"")</f>
        <v/>
      </c>
      <c r="T52" s="31">
        <f>IFERROR(INDEX('N03-S04'!$BB$88:$BB$199,2*(ROWS(T$18:T52)-1)+1),"")</f>
        <v>0</v>
      </c>
      <c r="U52" s="31" t="str">
        <f>IFERROR(INDEX('N03-S04'!$BG$18:$BG$199,2*(ROWS(U$18:U52)-1)+1),"")</f>
        <v/>
      </c>
      <c r="V52" s="560" t="str">
        <f>IFERROR(INDEX('N03-S04'!$AR$18:$AR$199,2*(ROWS(V$18:V52)-1)+1),"")</f>
        <v/>
      </c>
      <c r="W52" s="204"/>
      <c r="X52" s="204"/>
      <c r="Y52" s="204"/>
      <c r="Z52" s="189"/>
      <c r="AA52" s="189"/>
      <c r="AB52" s="189"/>
      <c r="AC52" s="215"/>
      <c r="AD52" s="215"/>
      <c r="AE52" s="207"/>
      <c r="AF52" s="207"/>
      <c r="AG52" s="216"/>
      <c r="AH52" s="216"/>
      <c r="AI52" s="189"/>
      <c r="AJ52" s="25">
        <f>IFERROR(INDEX('N03-S04'!$BC$18:$BC$199,2*(ROWS(AJ$18:AJ52)-1)+1),"")</f>
        <v>0</v>
      </c>
      <c r="AK52" s="25">
        <f>IFERROR(INDEX('N03-S04'!$BD$18:$BD$199,2*(ROWS(AK$18:AK52)-1)+1),"")</f>
        <v>0</v>
      </c>
      <c r="AL52" s="207"/>
      <c r="AM52" s="207"/>
      <c r="AN52" s="207"/>
      <c r="AO52">
        <f>IFERROR(INDEX('N03-S04'!$B$18:$B$199,2*(ROWS(AO$18:AO52)-1)+1),"")</f>
        <v>35</v>
      </c>
      <c r="AP52" s="189"/>
      <c r="AQ52">
        <f>IFERROR(INDEX('N03-S04'!$C$18:$C$199,2*(ROWS(AQ$18:AQ52)-1)+1),"")</f>
        <v>0</v>
      </c>
      <c r="AR52" t="str" cm="1">
        <f t="array" aca="1" ref="AR52" ca="1">_xlfn.LET( _xlpm.Rows, 2*(ROWS(AS$18:AS52)-1)+1,
_xlpm.Unit_1, IFERROR(INDEX('N03-S04'!$J$18:$J$199, _xlpm.Rows), ""),
_xlpm.Value_1, IFERROR(ROUND(INDEX('N03-S04'!$L$18:$L$199, _xlpm.Rows),3), ""),
_xlpm.Unit_2, IFERROR(INDEX('N03-S04'!$P$18:$P$199, _xlpm.Rows), ""),
_xlpm.Value_2, IFERROR(ROUND(INDEX('N03-S04'!$R$18:$R$199, _xlpm.Rows),3), ""),
_xlpm.Unit_3, IFERROR(INDEX('N03-S04'!$BN$18:$BN$199, _xlpm.Rows), ""),
_xlpm.Value_3, IFERROR(ROUND(INDEX('N03-S04'!$BO$18:$BO$199, _xlpm.Rows),3), ""),
_xlpm.M_Row, OFFSET(STDHVAC_N_Ref[#Headers], MATCH(AY52, STDHVAC_N_Ref[Primary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S52" s="48" t="str" cm="1">
        <f t="array" aca="1" ref="AS52" ca="1">_xlfn.LET( _xlpm.Rows, 2*(ROWS(AS$18:AS52)-1)+1,
_xlpm.Unit_1, IFERROR(INDEX('N03-S04'!$J$18:$J$199, _xlpm.Rows), ""),
_xlpm.Value_1, IFERROR(ROUND(INDEX('N03-S04'!$N$18:$N$199, _xlpm.Rows),3), ""),
_xlpm.Unit_2, IFERROR(INDEX('N03-S04'!$P$18:$P$199, _xlpm.Rows), ""),
_xlpm.Value_2, IFERROR(ROUND(INDEX('N03-S04'!$T$18:$T$199, _xlpm.Rows),3), ""),
_xlpm.Unit_3, IFERROR(INDEX('N03-S04'!$BN$18:$BN$199, _xlpm.Rows), ""),
_xlpm.Value_3, IFERROR(ROUND(INDEX('N03-S04'!$BP$18:$BP$199, _xlpm.Rows),3), ""),
_xlpm.Unit_4, "Tons-Heat",
_xlpm.Value_4, IFERROR(ROUND(INDEX('N03-S04'!$BQ$18:$BQ$199, _xlpm.Rows),2), ""),
_xlpm.M_Row, OFFSET(STDHVAC_N_Ref[#Headers], MATCH(AY52, STDHVAC_N_Ref[Primary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T52" s="204"/>
      <c r="AU52" s="204"/>
      <c r="AV52">
        <f>IFERROR(INDEX('N03-S04'!$AZ$88:$AZ$199,2*(ROWS(AV$18:AV52)-1)+1),"")</f>
        <v>0</v>
      </c>
      <c r="AW52" s="189"/>
      <c r="AX52" t="str">
        <f>IFERROR(INDEX(STDHVAC_N[Reporting Methodology],MATCH(C52,STDHVAC_N[Measure Number],0)),"")</f>
        <v/>
      </c>
      <c r="AY52" s="1" t="str">
        <f>IFERROR(INDEX(STDHVAC_N[Primary Key],MATCH(C52,STDHVAC_N[Measure Number],0)),"")</f>
        <v/>
      </c>
      <c r="AZ52" s="170"/>
      <c r="BA52" s="170"/>
      <c r="BB52" s="170"/>
      <c r="BC52" s="170"/>
      <c r="BD52" s="170"/>
      <c r="BE52" s="170"/>
      <c r="BF52" s="170"/>
      <c r="BG52" s="170"/>
      <c r="BH52" s="170"/>
      <c r="BI52" s="170"/>
      <c r="BJ52" s="170"/>
      <c r="BK52" s="170"/>
    </row>
    <row r="53" spans="1:63">
      <c r="A53" s="222" t="str">
        <f>"Standard "&amp;N3S5</f>
        <v>Standard Refrigeration</v>
      </c>
      <c r="B53" s="190"/>
      <c r="C53" s="190"/>
      <c r="D53" s="190"/>
      <c r="E53" s="190"/>
      <c r="F53" s="190"/>
      <c r="G53" s="190"/>
      <c r="H53" s="206"/>
      <c r="I53" s="190"/>
      <c r="J53" s="202"/>
      <c r="K53" s="202"/>
      <c r="L53" s="202"/>
      <c r="M53" s="190"/>
      <c r="N53" s="190"/>
      <c r="O53" s="190"/>
      <c r="P53" s="210"/>
      <c r="Q53" s="210"/>
      <c r="R53" s="206"/>
      <c r="S53" s="206"/>
      <c r="T53" s="213"/>
      <c r="U53" s="213"/>
      <c r="V53" s="202"/>
      <c r="W53" s="202"/>
      <c r="X53" s="202"/>
      <c r="Y53" s="202"/>
      <c r="Z53" s="190"/>
      <c r="AA53" s="190"/>
      <c r="AB53" s="190"/>
      <c r="AC53" s="210"/>
      <c r="AD53" s="210"/>
      <c r="AE53" s="206"/>
      <c r="AF53" s="206"/>
      <c r="AG53" s="213"/>
      <c r="AH53" s="213"/>
      <c r="AI53" s="190"/>
      <c r="AJ53" s="206"/>
      <c r="AK53" s="206"/>
      <c r="AL53" s="206"/>
      <c r="AM53" s="206"/>
      <c r="AN53" s="206"/>
      <c r="AO53" s="190"/>
      <c r="AP53" s="190"/>
      <c r="AQ53" s="191"/>
      <c r="AR53" s="190"/>
      <c r="AS53" s="190"/>
      <c r="AT53" s="202"/>
      <c r="AU53" s="202"/>
      <c r="AV53" s="190"/>
      <c r="AW53" s="190"/>
      <c r="AX53" s="190"/>
      <c r="AY53" s="170"/>
      <c r="AZ53" s="170"/>
      <c r="BA53" s="170"/>
      <c r="BB53" s="170"/>
      <c r="BC53" s="170"/>
      <c r="BD53" s="170"/>
      <c r="BE53" s="170"/>
      <c r="BF53" s="170"/>
      <c r="BG53" s="170"/>
      <c r="BH53" s="170"/>
      <c r="BI53" s="170"/>
      <c r="BJ53" s="170"/>
      <c r="BK53" s="170"/>
    </row>
    <row r="54" spans="1:63">
      <c r="A54" s="14">
        <f t="shared" ref="A54:A68" si="8">PROJID_N</f>
        <v>0</v>
      </c>
      <c r="B54" t="str">
        <f>IF(C54="","",CONCATENATE(ROW(),"-",C54))</f>
        <v/>
      </c>
      <c r="C54" t="str">
        <f>IFERROR(IF(V54&gt;0,INDEX('zN03-S05'!$BI$18:$BI$199,2*(ROWS(C$54:C54)-1)+1),""),"")</f>
        <v/>
      </c>
      <c r="D54" t="s">
        <v>50</v>
      </c>
      <c r="E54" t="s">
        <v>38</v>
      </c>
      <c r="F54" t="s">
        <v>849</v>
      </c>
      <c r="G54" t="str">
        <f>IFERROR(INDEX('zN03-S05'!$BE$18:$BE$199,2*(ROWS(G$54:G54)-1)+1),"")</f>
        <v/>
      </c>
      <c r="H54" s="207"/>
      <c r="I54" s="48">
        <f>IFERROR(INDEX('zN03-S05'!$AE$18:$AE$199,2*(ROWS(I$54:I54)-1)+1),"")</f>
        <v>0</v>
      </c>
      <c r="J54" s="560">
        <f>IFERROR(ROUND(INDEX('zN03-S05'!$AI$18:$AI$199,2*(ROWS(J$54:J54)-1)+1),2),"")</f>
        <v>0</v>
      </c>
      <c r="K54" s="560">
        <f>IFERROR(ROUND(INDEX('zN03-S05'!$AK$18:$AK$199,2*(ROWS(K$54:K54)-1)+1),2),"")</f>
        <v>0</v>
      </c>
      <c r="L54" s="13">
        <f>IFERROR(ROUND(INDEX('zN03-S05'!$AY$38:$AY$199,2*(ROWS(L$54:L54)-1)+1),2),"")</f>
        <v>0</v>
      </c>
      <c r="N54" s="13" t="str">
        <f>IFERROR(ROUND(INDEX('zN03-S05'!$BO$18:$BO$199,2*(ROWS(N$54:N54)-1)+1),2),"")</f>
        <v/>
      </c>
      <c r="O54" s="207"/>
      <c r="P54" s="10">
        <f>IFERROR(ROUND(INDEX('zN03-S05'!$U$18:$U$199,2*(ROWS(P$54:P54)-1)+1),3),"")</f>
        <v>0</v>
      </c>
      <c r="Q54" s="10">
        <f>IFERROR(ROUND(INDEX('zN03-S05'!$U$18:$U$199,2*(ROWS(Q$54:Q54)-1)+1),3),"")</f>
        <v>0</v>
      </c>
      <c r="R54" s="25">
        <f>IFERROR(INDEX('zN03-S05'!$BA$38:$BA$199,2*(ROWS(R$54:R54)-1)+1),"")</f>
        <v>0</v>
      </c>
      <c r="S54" s="25">
        <f>IFERROR(INDEX('zN03-S05'!$BF$18:$BF$199,2*(ROWS(S$54:S54)-1)+1),"")</f>
        <v>0</v>
      </c>
      <c r="T54" s="31">
        <f>IFERROR(INDEX('zN03-S05'!$BB$38:$BB$199,2*(ROWS(T$54:T54)-1)+1),"")</f>
        <v>0</v>
      </c>
      <c r="U54" s="31">
        <f>IFERROR(INDEX('zN03-S05'!$BG$18:$BG$199,2*(ROWS(U$54:U54)-1)+1),"")</f>
        <v>0</v>
      </c>
      <c r="V54" s="560" t="str">
        <f>IFERROR(INDEX('zN03-S05'!$AR$18:$AR$199,2*(ROWS(V$54:V54)-1)+1),"")</f>
        <v/>
      </c>
      <c r="W54" s="204"/>
      <c r="X54" s="204"/>
      <c r="Y54" s="204"/>
      <c r="Z54" s="189"/>
      <c r="AA54" s="189"/>
      <c r="AB54" s="189"/>
      <c r="AC54" s="215"/>
      <c r="AD54" s="215"/>
      <c r="AE54" s="207"/>
      <c r="AF54" s="207"/>
      <c r="AG54" s="216"/>
      <c r="AH54" s="216"/>
      <c r="AI54" s="189"/>
      <c r="AJ54" s="25">
        <f>IFERROR(INDEX('zN03-S05'!$BC$18:$BC$199,2*(ROWS(AJ$54:AJ54)-1)+1),"")</f>
        <v>0</v>
      </c>
      <c r="AK54" s="25">
        <f>IFERROR(INDEX('zN03-S05'!$BD$18:$BD$199,2*(ROWS(AK$54:AK54)-1)+1),"")</f>
        <v>0</v>
      </c>
      <c r="AL54" s="207"/>
      <c r="AM54" s="207"/>
      <c r="AN54" s="207"/>
      <c r="AO54">
        <f>IFERROR(INDEX('zN03-S05'!$B$18:$B$199,2*(ROWS(AO$54:AO54)-1)+1),"")</f>
        <v>1</v>
      </c>
      <c r="AP54" s="189"/>
      <c r="AQ54">
        <f>IFERROR(INDEX('zN03-S05'!$C$18:$C$199,2*(ROWS(AQ$54:AQ54)-1)+1),"")</f>
        <v>0</v>
      </c>
      <c r="AR54" s="189"/>
      <c r="AS54" s="48">
        <f>IFERROR(INDEX('zN03-S05'!$AA$18:$AA$199,2*(ROWS(AS$54:AS54)-1)+1),"")</f>
        <v>0</v>
      </c>
      <c r="AT54" s="204"/>
      <c r="AU54" s="204"/>
      <c r="AV54">
        <f>IFERROR(INDEX('zN03-S05'!$AZ$38:$AZ$199,2*(ROWS(AV$54:AV54)-1)+1),"")</f>
        <v>0</v>
      </c>
      <c r="AW54" s="189"/>
      <c r="AX54" t="str">
        <f>IFERROR(INDEX(STDREFRIG_N[Reporting Methodology],MATCH(C54,STDREFRIG_N[Measure Number],0)),"")</f>
        <v/>
      </c>
      <c r="AY54" s="170"/>
      <c r="AZ54" s="170"/>
      <c r="BA54" s="170"/>
      <c r="BB54" s="170"/>
      <c r="BC54" s="170"/>
      <c r="BD54" s="170"/>
      <c r="BE54" s="170"/>
      <c r="BF54" s="170"/>
      <c r="BG54" s="170"/>
      <c r="BH54" s="170"/>
      <c r="BI54" s="170"/>
      <c r="BJ54" s="170"/>
      <c r="BK54" s="170"/>
    </row>
    <row r="55" spans="1:63">
      <c r="A55" s="14">
        <f t="shared" si="8"/>
        <v>0</v>
      </c>
      <c r="B55" t="str">
        <f t="shared" ref="B55:B68" si="9">IF(C55="","",CONCATENATE(ROW(),"-",C55))</f>
        <v/>
      </c>
      <c r="C55" t="str">
        <f>IFERROR(IF(V55&gt;0,INDEX('zN03-S05'!$BI$18:$BI$199,2*(ROWS(C$54:C55)-1)+1),""),"")</f>
        <v/>
      </c>
      <c r="D55" t="s">
        <v>50</v>
      </c>
      <c r="E55" t="s">
        <v>38</v>
      </c>
      <c r="F55" t="s">
        <v>849</v>
      </c>
      <c r="G55" t="str">
        <f>IFERROR(INDEX('zN03-S05'!$BE$18:$BE$199,2*(ROWS(G$54:G55)-1)+1),"")</f>
        <v/>
      </c>
      <c r="H55" s="207"/>
      <c r="I55" s="48">
        <f>IFERROR(INDEX('zN03-S05'!$AE$18:$AE$199,2*(ROWS(I$54:I55)-1)+1),"")</f>
        <v>0</v>
      </c>
      <c r="J55" s="560">
        <f>IFERROR(ROUND(INDEX('zN03-S05'!$AI$18:$AI$199,2*(ROWS(J$54:J55)-1)+1),2),"")</f>
        <v>0</v>
      </c>
      <c r="K55" s="560">
        <f>IFERROR(ROUND(INDEX('zN03-S05'!$AK$18:$AK$199,2*(ROWS(K$54:K55)-1)+1),2),"")</f>
        <v>0</v>
      </c>
      <c r="L55" s="13">
        <f>IFERROR(ROUND(INDEX('zN03-S05'!$AY$38:$AY$199,2*(ROWS(L$54:L55)-1)+1),2),"")</f>
        <v>0</v>
      </c>
      <c r="N55" s="13" t="str">
        <f>IFERROR(ROUND(INDEX('zN03-S05'!$BO$18:$BO$199,2*(ROWS(N$54:N55)-1)+1),2),"")</f>
        <v/>
      </c>
      <c r="O55" s="207"/>
      <c r="P55" s="10">
        <f>IFERROR(ROUND(INDEX('zN03-S05'!$U$18:$U$199,2*(ROWS(P$54:P55)-1)+1),3),"")</f>
        <v>0</v>
      </c>
      <c r="Q55" s="10">
        <f>IFERROR(ROUND(INDEX('zN03-S05'!$U$18:$U$199,2*(ROWS(Q$54:Q55)-1)+1),3),"")</f>
        <v>0</v>
      </c>
      <c r="R55" s="25">
        <f>IFERROR(INDEX('zN03-S05'!$BA$38:$BA$199,2*(ROWS(R$54:R55)-1)+1),"")</f>
        <v>0</v>
      </c>
      <c r="S55" s="25">
        <f>IFERROR(INDEX('zN03-S05'!$BF$18:$BF$199,2*(ROWS(S$54:S55)-1)+1),"")</f>
        <v>0</v>
      </c>
      <c r="T55" s="31">
        <f>IFERROR(INDEX('zN03-S05'!$BB$38:$BB$199,2*(ROWS(T$54:T55)-1)+1),"")</f>
        <v>0</v>
      </c>
      <c r="U55" s="31">
        <f>IFERROR(INDEX('zN03-S05'!$BG$18:$BG$199,2*(ROWS(U$54:U55)-1)+1),"")</f>
        <v>0</v>
      </c>
      <c r="V55" s="560" t="str">
        <f>IFERROR(INDEX('zN03-S05'!$AR$18:$AR$199,2*(ROWS(V$54:V55)-1)+1),"")</f>
        <v/>
      </c>
      <c r="W55" s="204"/>
      <c r="X55" s="204"/>
      <c r="Y55" s="204"/>
      <c r="Z55" s="189"/>
      <c r="AA55" s="189"/>
      <c r="AB55" s="189"/>
      <c r="AC55" s="215"/>
      <c r="AD55" s="215"/>
      <c r="AE55" s="207"/>
      <c r="AF55" s="207"/>
      <c r="AG55" s="216"/>
      <c r="AH55" s="216"/>
      <c r="AI55" s="189"/>
      <c r="AJ55" s="25">
        <f>IFERROR(INDEX('zN03-S05'!$BC$18:$BC$199,2*(ROWS(AJ$54:AJ55)-1)+1),"")</f>
        <v>0</v>
      </c>
      <c r="AK55" s="25">
        <f>IFERROR(INDEX('zN03-S05'!$BD$18:$BD$199,2*(ROWS(AK$54:AK55)-1)+1),"")</f>
        <v>0</v>
      </c>
      <c r="AL55" s="207"/>
      <c r="AM55" s="207"/>
      <c r="AN55" s="207"/>
      <c r="AO55">
        <f>IFERROR(INDEX('zN03-S05'!$B$18:$B$199,2*(ROWS(AO$54:AO55)-1)+1),"")</f>
        <v>2</v>
      </c>
      <c r="AP55" s="189"/>
      <c r="AQ55">
        <f>IFERROR(INDEX('zN03-S05'!$C$18:$C$199,2*(ROWS(AQ$54:AQ55)-1)+1),"")</f>
        <v>0</v>
      </c>
      <c r="AR55" s="189"/>
      <c r="AS55" s="48">
        <f>IFERROR(INDEX('zN03-S05'!$AA$18:$AA$199,2*(ROWS(AS$54:AS55)-1)+1),"")</f>
        <v>0</v>
      </c>
      <c r="AT55" s="204"/>
      <c r="AU55" s="204"/>
      <c r="AV55">
        <f>IFERROR(INDEX('zN03-S05'!$AZ$38:$AZ$199,2*(ROWS(AV$54:AV55)-1)+1),"")</f>
        <v>0</v>
      </c>
      <c r="AW55" s="189"/>
      <c r="AX55" t="str">
        <f>IFERROR(INDEX(STDREFRIG_N[Reporting Methodology],MATCH(C55,STDREFRIG_N[Measure Number],0)),"")</f>
        <v/>
      </c>
      <c r="AY55" s="170"/>
      <c r="AZ55" s="170"/>
      <c r="BA55" s="170"/>
      <c r="BB55" s="170"/>
      <c r="BC55" s="170"/>
      <c r="BD55" s="170"/>
      <c r="BE55" s="170"/>
      <c r="BF55" s="170"/>
      <c r="BG55" s="170"/>
      <c r="BH55" s="170"/>
      <c r="BI55" s="170"/>
      <c r="BJ55" s="170"/>
      <c r="BK55" s="170"/>
    </row>
    <row r="56" spans="1:63">
      <c r="A56" s="14">
        <f t="shared" si="8"/>
        <v>0</v>
      </c>
      <c r="B56" t="str">
        <f t="shared" si="9"/>
        <v/>
      </c>
      <c r="C56" t="str">
        <f>IFERROR(IF(V56&gt;0,INDEX('zN03-S05'!$BI$18:$BI$199,2*(ROWS(C$54:C56)-1)+1),""),"")</f>
        <v/>
      </c>
      <c r="D56" t="s">
        <v>50</v>
      </c>
      <c r="E56" t="s">
        <v>38</v>
      </c>
      <c r="F56" t="s">
        <v>849</v>
      </c>
      <c r="G56" t="str">
        <f>IFERROR(INDEX('zN03-S05'!$BE$18:$BE$199,2*(ROWS(G$54:G56)-1)+1),"")</f>
        <v/>
      </c>
      <c r="H56" s="207"/>
      <c r="I56" s="48">
        <f>IFERROR(INDEX('zN03-S05'!$AE$18:$AE$199,2*(ROWS(I$54:I56)-1)+1),"")</f>
        <v>0</v>
      </c>
      <c r="J56" s="560">
        <f>IFERROR(ROUND(INDEX('zN03-S05'!$AI$18:$AI$199,2*(ROWS(J$54:J56)-1)+1),2),"")</f>
        <v>0</v>
      </c>
      <c r="K56" s="560">
        <f>IFERROR(ROUND(INDEX('zN03-S05'!$AK$18:$AK$199,2*(ROWS(K$54:K56)-1)+1),2),"")</f>
        <v>0</v>
      </c>
      <c r="L56" s="13">
        <f>IFERROR(ROUND(INDEX('zN03-S05'!$AY$38:$AY$199,2*(ROWS(L$54:L56)-1)+1),2),"")</f>
        <v>0</v>
      </c>
      <c r="N56" s="13" t="str">
        <f>IFERROR(ROUND(INDEX('zN03-S05'!$BO$18:$BO$199,2*(ROWS(N$54:N56)-1)+1),2),"")</f>
        <v/>
      </c>
      <c r="O56" s="207"/>
      <c r="P56" s="10">
        <f>IFERROR(ROUND(INDEX('zN03-S05'!$U$18:$U$199,2*(ROWS(P$54:P56)-1)+1),3),"")</f>
        <v>0</v>
      </c>
      <c r="Q56" s="10">
        <f>IFERROR(ROUND(INDEX('zN03-S05'!$U$18:$U$199,2*(ROWS(Q$54:Q56)-1)+1),3),"")</f>
        <v>0</v>
      </c>
      <c r="R56" s="25">
        <f>IFERROR(INDEX('zN03-S05'!$BA$38:$BA$199,2*(ROWS(R$54:R56)-1)+1),"")</f>
        <v>0</v>
      </c>
      <c r="S56" s="25">
        <f>IFERROR(INDEX('zN03-S05'!$BF$18:$BF$199,2*(ROWS(S$54:S56)-1)+1),"")</f>
        <v>0</v>
      </c>
      <c r="T56" s="31">
        <f>IFERROR(INDEX('zN03-S05'!$BB$38:$BB$199,2*(ROWS(T$54:T56)-1)+1),"")</f>
        <v>0</v>
      </c>
      <c r="U56" s="31">
        <f>IFERROR(INDEX('zN03-S05'!$BG$18:$BG$199,2*(ROWS(U$54:U56)-1)+1),"")</f>
        <v>0</v>
      </c>
      <c r="V56" s="560" t="str">
        <f>IFERROR(INDEX('zN03-S05'!$AR$18:$AR$199,2*(ROWS(V$54:V56)-1)+1),"")</f>
        <v/>
      </c>
      <c r="W56" s="204"/>
      <c r="X56" s="204"/>
      <c r="Y56" s="204"/>
      <c r="Z56" s="189"/>
      <c r="AA56" s="189"/>
      <c r="AB56" s="189"/>
      <c r="AC56" s="215"/>
      <c r="AD56" s="215"/>
      <c r="AE56" s="207"/>
      <c r="AF56" s="207"/>
      <c r="AG56" s="216"/>
      <c r="AH56" s="216"/>
      <c r="AI56" s="189"/>
      <c r="AJ56" s="25">
        <f>IFERROR(INDEX('zN03-S05'!$BC$18:$BC$199,2*(ROWS(AJ$54:AJ56)-1)+1),"")</f>
        <v>0</v>
      </c>
      <c r="AK56" s="25">
        <f>IFERROR(INDEX('zN03-S05'!$BD$18:$BD$199,2*(ROWS(AK$54:AK56)-1)+1),"")</f>
        <v>0</v>
      </c>
      <c r="AL56" s="207"/>
      <c r="AM56" s="207"/>
      <c r="AN56" s="207"/>
      <c r="AO56">
        <f>IFERROR(INDEX('zN03-S05'!$B$18:$B$199,2*(ROWS(AO$54:AO56)-1)+1),"")</f>
        <v>3</v>
      </c>
      <c r="AP56" s="189"/>
      <c r="AQ56">
        <f>IFERROR(INDEX('zN03-S05'!$C$18:$C$199,2*(ROWS(AQ$54:AQ56)-1)+1),"")</f>
        <v>0</v>
      </c>
      <c r="AR56" s="189"/>
      <c r="AS56" s="48">
        <f>IFERROR(INDEX('zN03-S05'!$AA$18:$AA$199,2*(ROWS(AS$54:AS56)-1)+1),"")</f>
        <v>0</v>
      </c>
      <c r="AT56" s="204"/>
      <c r="AU56" s="204"/>
      <c r="AV56">
        <f>IFERROR(INDEX('zN03-S05'!$AZ$38:$AZ$199,2*(ROWS(AV$54:AV56)-1)+1),"")</f>
        <v>0</v>
      </c>
      <c r="AW56" s="189"/>
      <c r="AX56" t="str">
        <f>IFERROR(INDEX(STDREFRIG_N[Reporting Methodology],MATCH(C56,STDREFRIG_N[Measure Number],0)),"")</f>
        <v/>
      </c>
      <c r="AY56" s="170"/>
      <c r="AZ56" s="170"/>
      <c r="BA56" s="170"/>
      <c r="BB56" s="170"/>
      <c r="BC56" s="170"/>
      <c r="BD56" s="170"/>
      <c r="BE56" s="170"/>
      <c r="BF56" s="170"/>
      <c r="BG56" s="170"/>
      <c r="BH56" s="170"/>
      <c r="BI56" s="170"/>
      <c r="BJ56" s="170"/>
      <c r="BK56" s="170"/>
    </row>
    <row r="57" spans="1:63">
      <c r="A57" s="14">
        <f t="shared" si="8"/>
        <v>0</v>
      </c>
      <c r="B57" t="str">
        <f t="shared" si="9"/>
        <v/>
      </c>
      <c r="C57" t="str">
        <f>IFERROR(IF(V57&gt;0,INDEX('zN03-S05'!$BI$18:$BI$199,2*(ROWS(C$54:C57)-1)+1),""),"")</f>
        <v/>
      </c>
      <c r="D57" t="s">
        <v>50</v>
      </c>
      <c r="E57" t="s">
        <v>38</v>
      </c>
      <c r="F57" t="s">
        <v>849</v>
      </c>
      <c r="G57" t="str">
        <f>IFERROR(INDEX('zN03-S05'!$BE$18:$BE$199,2*(ROWS(G$54:G57)-1)+1),"")</f>
        <v/>
      </c>
      <c r="H57" s="207"/>
      <c r="I57" s="48">
        <f>IFERROR(INDEX('zN03-S05'!$AE$18:$AE$199,2*(ROWS(I$54:I57)-1)+1),"")</f>
        <v>0</v>
      </c>
      <c r="J57" s="560">
        <f>IFERROR(ROUND(INDEX('zN03-S05'!$AI$18:$AI$199,2*(ROWS(J$54:J57)-1)+1),2),"")</f>
        <v>0</v>
      </c>
      <c r="K57" s="560">
        <f>IFERROR(ROUND(INDEX('zN03-S05'!$AK$18:$AK$199,2*(ROWS(K$54:K57)-1)+1),2),"")</f>
        <v>0</v>
      </c>
      <c r="L57" s="13">
        <f>IFERROR(ROUND(INDEX('zN03-S05'!$AY$38:$AY$199,2*(ROWS(L$54:L57)-1)+1),2),"")</f>
        <v>0</v>
      </c>
      <c r="N57" s="13" t="str">
        <f>IFERROR(ROUND(INDEX('zN03-S05'!$BO$18:$BO$199,2*(ROWS(N$54:N57)-1)+1),2),"")</f>
        <v/>
      </c>
      <c r="O57" s="207"/>
      <c r="P57" s="10">
        <f>IFERROR(ROUND(INDEX('zN03-S05'!$U$18:$U$199,2*(ROWS(P$54:P57)-1)+1),3),"")</f>
        <v>0</v>
      </c>
      <c r="Q57" s="10">
        <f>IFERROR(ROUND(INDEX('zN03-S05'!$U$18:$U$199,2*(ROWS(Q$54:Q57)-1)+1),3),"")</f>
        <v>0</v>
      </c>
      <c r="R57" s="25">
        <f>IFERROR(INDEX('zN03-S05'!$BA$38:$BA$199,2*(ROWS(R$54:R57)-1)+1),"")</f>
        <v>0</v>
      </c>
      <c r="S57" s="25">
        <f>IFERROR(INDEX('zN03-S05'!$BF$18:$BF$199,2*(ROWS(S$54:S57)-1)+1),"")</f>
        <v>0</v>
      </c>
      <c r="T57" s="31">
        <f>IFERROR(INDEX('zN03-S05'!$BB$38:$BB$199,2*(ROWS(T$54:T57)-1)+1),"")</f>
        <v>0</v>
      </c>
      <c r="U57" s="31">
        <f>IFERROR(INDEX('zN03-S05'!$BG$18:$BG$199,2*(ROWS(U$54:U57)-1)+1),"")</f>
        <v>0</v>
      </c>
      <c r="V57" s="560" t="str">
        <f>IFERROR(INDEX('zN03-S05'!$AR$18:$AR$199,2*(ROWS(V$54:V57)-1)+1),"")</f>
        <v/>
      </c>
      <c r="W57" s="204"/>
      <c r="X57" s="204"/>
      <c r="Y57" s="204"/>
      <c r="Z57" s="189"/>
      <c r="AA57" s="189"/>
      <c r="AB57" s="189"/>
      <c r="AC57" s="215"/>
      <c r="AD57" s="215"/>
      <c r="AE57" s="207"/>
      <c r="AF57" s="207"/>
      <c r="AG57" s="216"/>
      <c r="AH57" s="216"/>
      <c r="AI57" s="189"/>
      <c r="AJ57" s="25">
        <f>IFERROR(INDEX('zN03-S05'!$BC$18:$BC$199,2*(ROWS(AJ$54:AJ57)-1)+1),"")</f>
        <v>0</v>
      </c>
      <c r="AK57" s="25">
        <f>IFERROR(INDEX('zN03-S05'!$BD$18:$BD$199,2*(ROWS(AK$54:AK57)-1)+1),"")</f>
        <v>0</v>
      </c>
      <c r="AL57" s="207"/>
      <c r="AM57" s="207"/>
      <c r="AN57" s="207"/>
      <c r="AO57">
        <f>IFERROR(INDEX('zN03-S05'!$B$18:$B$199,2*(ROWS(AO$54:AO57)-1)+1),"")</f>
        <v>4</v>
      </c>
      <c r="AP57" s="189"/>
      <c r="AQ57">
        <f>IFERROR(INDEX('zN03-S05'!$C$18:$C$199,2*(ROWS(AQ$54:AQ57)-1)+1),"")</f>
        <v>0</v>
      </c>
      <c r="AR57" s="189"/>
      <c r="AS57" s="48">
        <f>IFERROR(INDEX('zN03-S05'!$AA$18:$AA$199,2*(ROWS(AS$54:AS57)-1)+1),"")</f>
        <v>0</v>
      </c>
      <c r="AT57" s="204"/>
      <c r="AU57" s="204"/>
      <c r="AV57">
        <f>IFERROR(INDEX('zN03-S05'!$AZ$38:$AZ$199,2*(ROWS(AV$54:AV57)-1)+1),"")</f>
        <v>0</v>
      </c>
      <c r="AW57" s="189"/>
      <c r="AX57" t="str">
        <f>IFERROR(INDEX(STDREFRIG_N[Reporting Methodology],MATCH(C57,STDREFRIG_N[Measure Number],0)),"")</f>
        <v/>
      </c>
      <c r="AY57" s="170"/>
      <c r="AZ57" s="170"/>
      <c r="BA57" s="170"/>
      <c r="BB57" s="170"/>
      <c r="BC57" s="170"/>
      <c r="BD57" s="170"/>
      <c r="BE57" s="170"/>
      <c r="BF57" s="170"/>
      <c r="BG57" s="170"/>
      <c r="BH57" s="170"/>
      <c r="BI57" s="170"/>
      <c r="BJ57" s="170"/>
      <c r="BK57" s="170"/>
    </row>
    <row r="58" spans="1:63">
      <c r="A58" s="14">
        <f t="shared" si="8"/>
        <v>0</v>
      </c>
      <c r="B58" t="str">
        <f t="shared" si="9"/>
        <v/>
      </c>
      <c r="C58" t="str">
        <f>IFERROR(IF(V58&gt;0,INDEX('zN03-S05'!$BI$18:$BI$199,2*(ROWS(C$54:C58)-1)+1),""),"")</f>
        <v/>
      </c>
      <c r="D58" t="s">
        <v>50</v>
      </c>
      <c r="E58" t="s">
        <v>38</v>
      </c>
      <c r="F58" t="s">
        <v>849</v>
      </c>
      <c r="G58" t="str">
        <f>IFERROR(INDEX('zN03-S05'!$BE$18:$BE$199,2*(ROWS(G$54:G58)-1)+1),"")</f>
        <v/>
      </c>
      <c r="H58" s="207"/>
      <c r="I58" s="48">
        <f>IFERROR(INDEX('zN03-S05'!$AE$18:$AE$199,2*(ROWS(I$54:I58)-1)+1),"")</f>
        <v>0</v>
      </c>
      <c r="J58" s="560">
        <f>IFERROR(ROUND(INDEX('zN03-S05'!$AI$18:$AI$199,2*(ROWS(J$54:J58)-1)+1),2),"")</f>
        <v>0</v>
      </c>
      <c r="K58" s="560">
        <f>IFERROR(ROUND(INDEX('zN03-S05'!$AK$18:$AK$199,2*(ROWS(K$54:K58)-1)+1),2),"")</f>
        <v>0</v>
      </c>
      <c r="L58" s="13">
        <f>IFERROR(ROUND(INDEX('zN03-S05'!$AY$38:$AY$199,2*(ROWS(L$54:L58)-1)+1),2),"")</f>
        <v>0</v>
      </c>
      <c r="N58" s="13" t="str">
        <f>IFERROR(ROUND(INDEX('zN03-S05'!$BO$18:$BO$199,2*(ROWS(N$54:N58)-1)+1),2),"")</f>
        <v/>
      </c>
      <c r="O58" s="207"/>
      <c r="P58" s="10">
        <f>IFERROR(ROUND(INDEX('zN03-S05'!$U$18:$U$199,2*(ROWS(P$54:P58)-1)+1),3),"")</f>
        <v>0</v>
      </c>
      <c r="Q58" s="10">
        <f>IFERROR(ROUND(INDEX('zN03-S05'!$U$18:$U$199,2*(ROWS(Q$54:Q58)-1)+1),3),"")</f>
        <v>0</v>
      </c>
      <c r="R58" s="25">
        <f>IFERROR(INDEX('zN03-S05'!$BA$38:$BA$199,2*(ROWS(R$54:R58)-1)+1),"")</f>
        <v>0</v>
      </c>
      <c r="S58" s="25">
        <f>IFERROR(INDEX('zN03-S05'!$BF$18:$BF$199,2*(ROWS(S$54:S58)-1)+1),"")</f>
        <v>0</v>
      </c>
      <c r="T58" s="31">
        <f>IFERROR(INDEX('zN03-S05'!$BB$38:$BB$199,2*(ROWS(T$54:T58)-1)+1),"")</f>
        <v>0</v>
      </c>
      <c r="U58" s="31">
        <f>IFERROR(INDEX('zN03-S05'!$BG$18:$BG$199,2*(ROWS(U$54:U58)-1)+1),"")</f>
        <v>0</v>
      </c>
      <c r="V58" s="560" t="str">
        <f>IFERROR(INDEX('zN03-S05'!$AR$18:$AR$199,2*(ROWS(V$54:V58)-1)+1),"")</f>
        <v/>
      </c>
      <c r="W58" s="204"/>
      <c r="X58" s="204"/>
      <c r="Y58" s="204"/>
      <c r="Z58" s="189"/>
      <c r="AA58" s="189"/>
      <c r="AB58" s="189"/>
      <c r="AC58" s="215"/>
      <c r="AD58" s="215"/>
      <c r="AE58" s="207"/>
      <c r="AF58" s="207"/>
      <c r="AG58" s="216"/>
      <c r="AH58" s="216"/>
      <c r="AI58" s="189"/>
      <c r="AJ58" s="25">
        <f>IFERROR(INDEX('zN03-S05'!$BC$18:$BC$199,2*(ROWS(AJ$54:AJ58)-1)+1),"")</f>
        <v>0</v>
      </c>
      <c r="AK58" s="25">
        <f>IFERROR(INDEX('zN03-S05'!$BD$18:$BD$199,2*(ROWS(AK$54:AK58)-1)+1),"")</f>
        <v>0</v>
      </c>
      <c r="AL58" s="207"/>
      <c r="AM58" s="207"/>
      <c r="AN58" s="207"/>
      <c r="AO58">
        <f>IFERROR(INDEX('zN03-S05'!$B$18:$B$199,2*(ROWS(AO$54:AO58)-1)+1),"")</f>
        <v>5</v>
      </c>
      <c r="AP58" s="189"/>
      <c r="AQ58">
        <f>IFERROR(INDEX('zN03-S05'!$C$18:$C$199,2*(ROWS(AQ$54:AQ58)-1)+1),"")</f>
        <v>0</v>
      </c>
      <c r="AR58" s="189"/>
      <c r="AS58" s="48">
        <f>IFERROR(INDEX('zN03-S05'!$AA$18:$AA$199,2*(ROWS(AS$54:AS58)-1)+1),"")</f>
        <v>0</v>
      </c>
      <c r="AT58" s="204"/>
      <c r="AU58" s="204"/>
      <c r="AV58">
        <f>IFERROR(INDEX('zN03-S05'!$AZ$38:$AZ$199,2*(ROWS(AV$54:AV58)-1)+1),"")</f>
        <v>0</v>
      </c>
      <c r="AW58" s="189"/>
      <c r="AX58" t="str">
        <f>IFERROR(INDEX(STDREFRIG_N[Reporting Methodology],MATCH(C58,STDREFRIG_N[Measure Number],0)),"")</f>
        <v/>
      </c>
      <c r="AY58" s="170"/>
      <c r="AZ58" s="170"/>
      <c r="BA58" s="170"/>
      <c r="BB58" s="170"/>
      <c r="BC58" s="170"/>
      <c r="BD58" s="170"/>
      <c r="BE58" s="170"/>
      <c r="BF58" s="170"/>
      <c r="BG58" s="170"/>
      <c r="BH58" s="170"/>
      <c r="BI58" s="170"/>
      <c r="BJ58" s="170"/>
      <c r="BK58" s="170"/>
    </row>
    <row r="59" spans="1:63">
      <c r="A59" s="14">
        <f t="shared" si="8"/>
        <v>0</v>
      </c>
      <c r="B59" t="str">
        <f t="shared" si="9"/>
        <v/>
      </c>
      <c r="C59" t="str">
        <f>IFERROR(IF(V59&gt;0,INDEX('zN03-S05'!$BI$18:$BI$199,2*(ROWS(C$54:C59)-1)+1),""),"")</f>
        <v/>
      </c>
      <c r="D59" t="s">
        <v>50</v>
      </c>
      <c r="E59" t="s">
        <v>38</v>
      </c>
      <c r="F59" t="s">
        <v>849</v>
      </c>
      <c r="G59" t="str">
        <f>IFERROR(INDEX('zN03-S05'!$BE$18:$BE$199,2*(ROWS(G$54:G59)-1)+1),"")</f>
        <v/>
      </c>
      <c r="H59" s="207"/>
      <c r="I59" s="48">
        <f>IFERROR(INDEX('zN03-S05'!$AE$18:$AE$199,2*(ROWS(I$54:I59)-1)+1),"")</f>
        <v>0</v>
      </c>
      <c r="J59" s="560">
        <f>IFERROR(ROUND(INDEX('zN03-S05'!$AI$18:$AI$199,2*(ROWS(J$54:J59)-1)+1),2),"")</f>
        <v>0</v>
      </c>
      <c r="K59" s="560">
        <f>IFERROR(ROUND(INDEX('zN03-S05'!$AK$18:$AK$199,2*(ROWS(K$54:K59)-1)+1),2),"")</f>
        <v>0</v>
      </c>
      <c r="L59" s="13">
        <f>IFERROR(ROUND(INDEX('zN03-S05'!$AY$38:$AY$199,2*(ROWS(L$54:L59)-1)+1),2),"")</f>
        <v>0</v>
      </c>
      <c r="N59" s="13" t="str">
        <f>IFERROR(ROUND(INDEX('zN03-S05'!$BO$18:$BO$199,2*(ROWS(N$54:N59)-1)+1),2),"")</f>
        <v/>
      </c>
      <c r="O59" s="207"/>
      <c r="P59" s="10">
        <f>IFERROR(ROUND(INDEX('zN03-S05'!$U$18:$U$199,2*(ROWS(P$54:P59)-1)+1),3),"")</f>
        <v>0</v>
      </c>
      <c r="Q59" s="10">
        <f>IFERROR(ROUND(INDEX('zN03-S05'!$U$18:$U$199,2*(ROWS(Q$54:Q59)-1)+1),3),"")</f>
        <v>0</v>
      </c>
      <c r="R59" s="25">
        <f>IFERROR(INDEX('zN03-S05'!$BA$38:$BA$199,2*(ROWS(R$54:R59)-1)+1),"")</f>
        <v>0</v>
      </c>
      <c r="S59" s="25">
        <f>IFERROR(INDEX('zN03-S05'!$BF$18:$BF$199,2*(ROWS(S$54:S59)-1)+1),"")</f>
        <v>0</v>
      </c>
      <c r="T59" s="31">
        <f>IFERROR(INDEX('zN03-S05'!$BB$38:$BB$199,2*(ROWS(T$54:T59)-1)+1),"")</f>
        <v>0</v>
      </c>
      <c r="U59" s="31">
        <f>IFERROR(INDEX('zN03-S05'!$BG$18:$BG$199,2*(ROWS(U$54:U59)-1)+1),"")</f>
        <v>0</v>
      </c>
      <c r="V59" s="560" t="str">
        <f>IFERROR(INDEX('zN03-S05'!$AR$18:$AR$199,2*(ROWS(V$54:V59)-1)+1),"")</f>
        <v/>
      </c>
      <c r="W59" s="204"/>
      <c r="X59" s="204"/>
      <c r="Y59" s="204"/>
      <c r="Z59" s="189"/>
      <c r="AA59" s="189"/>
      <c r="AB59" s="189"/>
      <c r="AC59" s="215"/>
      <c r="AD59" s="215"/>
      <c r="AE59" s="207"/>
      <c r="AF59" s="207"/>
      <c r="AG59" s="216"/>
      <c r="AH59" s="216"/>
      <c r="AI59" s="189"/>
      <c r="AJ59" s="25">
        <f>IFERROR(INDEX('zN03-S05'!$BC$18:$BC$199,2*(ROWS(AJ$54:AJ59)-1)+1),"")</f>
        <v>0</v>
      </c>
      <c r="AK59" s="25">
        <f>IFERROR(INDEX('zN03-S05'!$BD$18:$BD$199,2*(ROWS(AK$54:AK59)-1)+1),"")</f>
        <v>0</v>
      </c>
      <c r="AL59" s="207"/>
      <c r="AM59" s="207"/>
      <c r="AN59" s="207"/>
      <c r="AO59">
        <f>IFERROR(INDEX('zN03-S05'!$B$18:$B$199,2*(ROWS(AO$54:AO59)-1)+1),"")</f>
        <v>6</v>
      </c>
      <c r="AP59" s="189"/>
      <c r="AQ59">
        <f>IFERROR(INDEX('zN03-S05'!$C$18:$C$199,2*(ROWS(AQ$54:AQ59)-1)+1),"")</f>
        <v>0</v>
      </c>
      <c r="AR59" s="189"/>
      <c r="AS59" s="48">
        <f>IFERROR(INDEX('zN03-S05'!$AA$18:$AA$199,2*(ROWS(AS$54:AS59)-1)+1),"")</f>
        <v>0</v>
      </c>
      <c r="AT59" s="204"/>
      <c r="AU59" s="204"/>
      <c r="AV59">
        <f>IFERROR(INDEX('zN03-S05'!$AZ$38:$AZ$199,2*(ROWS(AV$54:AV59)-1)+1),"")</f>
        <v>0</v>
      </c>
      <c r="AW59" s="189"/>
      <c r="AX59" t="str">
        <f>IFERROR(INDEX(STDREFRIG_N[Reporting Methodology],MATCH(C59,STDREFRIG_N[Measure Number],0)),"")</f>
        <v/>
      </c>
      <c r="AY59" s="170"/>
      <c r="AZ59" s="170"/>
      <c r="BA59" s="170"/>
      <c r="BB59" s="170"/>
      <c r="BC59" s="170"/>
      <c r="BD59" s="170"/>
      <c r="BE59" s="170"/>
      <c r="BF59" s="170"/>
      <c r="BG59" s="170"/>
      <c r="BH59" s="170"/>
      <c r="BI59" s="170"/>
      <c r="BJ59" s="170"/>
      <c r="BK59" s="170"/>
    </row>
    <row r="60" spans="1:63">
      <c r="A60" s="14">
        <f t="shared" si="8"/>
        <v>0</v>
      </c>
      <c r="B60" t="str">
        <f t="shared" si="9"/>
        <v/>
      </c>
      <c r="C60" t="str">
        <f>IFERROR(IF(V60&gt;0,INDEX('zN03-S05'!$BI$18:$BI$199,2*(ROWS(C$54:C60)-1)+1),""),"")</f>
        <v/>
      </c>
      <c r="D60" t="s">
        <v>50</v>
      </c>
      <c r="E60" t="s">
        <v>38</v>
      </c>
      <c r="F60" t="s">
        <v>849</v>
      </c>
      <c r="G60" t="str">
        <f>IFERROR(INDEX('zN03-S05'!$BE$18:$BE$199,2*(ROWS(G$54:G60)-1)+1),"")</f>
        <v/>
      </c>
      <c r="H60" s="207"/>
      <c r="I60" s="48">
        <f>IFERROR(INDEX('zN03-S05'!$AE$18:$AE$199,2*(ROWS(I$54:I60)-1)+1),"")</f>
        <v>0</v>
      </c>
      <c r="J60" s="560">
        <f>IFERROR(ROUND(INDEX('zN03-S05'!$AI$18:$AI$199,2*(ROWS(J$54:J60)-1)+1),2),"")</f>
        <v>0</v>
      </c>
      <c r="K60" s="560">
        <f>IFERROR(ROUND(INDEX('zN03-S05'!$AK$18:$AK$199,2*(ROWS(K$54:K60)-1)+1),2),"")</f>
        <v>0</v>
      </c>
      <c r="L60" s="13">
        <f>IFERROR(ROUND(INDEX('zN03-S05'!$AY$38:$AY$199,2*(ROWS(L$54:L60)-1)+1),2),"")</f>
        <v>0</v>
      </c>
      <c r="N60" s="13" t="str">
        <f>IFERROR(ROUND(INDEX('zN03-S05'!$BO$18:$BO$199,2*(ROWS(N$54:N60)-1)+1),2),"")</f>
        <v/>
      </c>
      <c r="O60" s="207"/>
      <c r="P60" s="10">
        <f>IFERROR(ROUND(INDEX('zN03-S05'!$U$18:$U$199,2*(ROWS(P$54:P60)-1)+1),3),"")</f>
        <v>0</v>
      </c>
      <c r="Q60" s="10">
        <f>IFERROR(ROUND(INDEX('zN03-S05'!$U$18:$U$199,2*(ROWS(Q$54:Q60)-1)+1),3),"")</f>
        <v>0</v>
      </c>
      <c r="R60" s="25">
        <f>IFERROR(INDEX('zN03-S05'!$BA$38:$BA$199,2*(ROWS(R$54:R60)-1)+1),"")</f>
        <v>0</v>
      </c>
      <c r="S60" s="25">
        <f>IFERROR(INDEX('zN03-S05'!$BF$18:$BF$199,2*(ROWS(S$54:S60)-1)+1),"")</f>
        <v>0</v>
      </c>
      <c r="T60" s="31">
        <f>IFERROR(INDEX('zN03-S05'!$BB$38:$BB$199,2*(ROWS(T$54:T60)-1)+1),"")</f>
        <v>0</v>
      </c>
      <c r="U60" s="31">
        <f>IFERROR(INDEX('zN03-S05'!$BG$18:$BG$199,2*(ROWS(U$54:U60)-1)+1),"")</f>
        <v>0</v>
      </c>
      <c r="V60" s="560" t="str">
        <f>IFERROR(INDEX('zN03-S05'!$AR$18:$AR$199,2*(ROWS(V$54:V60)-1)+1),"")</f>
        <v/>
      </c>
      <c r="W60" s="204"/>
      <c r="X60" s="204"/>
      <c r="Y60" s="204"/>
      <c r="Z60" s="189"/>
      <c r="AA60" s="189"/>
      <c r="AB60" s="189"/>
      <c r="AC60" s="215"/>
      <c r="AD60" s="215"/>
      <c r="AE60" s="207"/>
      <c r="AF60" s="207"/>
      <c r="AG60" s="216"/>
      <c r="AH60" s="216"/>
      <c r="AI60" s="189"/>
      <c r="AJ60" s="25">
        <f>IFERROR(INDEX('zN03-S05'!$BC$18:$BC$199,2*(ROWS(AJ$54:AJ60)-1)+1),"")</f>
        <v>0</v>
      </c>
      <c r="AK60" s="25">
        <f>IFERROR(INDEX('zN03-S05'!$BD$18:$BD$199,2*(ROWS(AK$54:AK60)-1)+1),"")</f>
        <v>0</v>
      </c>
      <c r="AL60" s="207"/>
      <c r="AM60" s="207"/>
      <c r="AN60" s="207"/>
      <c r="AO60">
        <f>IFERROR(INDEX('zN03-S05'!$B$18:$B$199,2*(ROWS(AO$54:AO60)-1)+1),"")</f>
        <v>7</v>
      </c>
      <c r="AP60" s="189"/>
      <c r="AQ60">
        <f>IFERROR(INDEX('zN03-S05'!$C$18:$C$199,2*(ROWS(AQ$54:AQ60)-1)+1),"")</f>
        <v>0</v>
      </c>
      <c r="AR60" s="189"/>
      <c r="AS60" s="48">
        <f>IFERROR(INDEX('zN03-S05'!$AA$18:$AA$199,2*(ROWS(AS$54:AS60)-1)+1),"")</f>
        <v>0</v>
      </c>
      <c r="AT60" s="204"/>
      <c r="AU60" s="204"/>
      <c r="AV60">
        <f>IFERROR(INDEX('zN03-S05'!$AZ$38:$AZ$199,2*(ROWS(AV$54:AV60)-1)+1),"")</f>
        <v>0</v>
      </c>
      <c r="AW60" s="189"/>
      <c r="AX60" t="str">
        <f>IFERROR(INDEX(STDREFRIG_N[Reporting Methodology],MATCH(C60,STDREFRIG_N[Measure Number],0)),"")</f>
        <v/>
      </c>
      <c r="AY60" s="170"/>
      <c r="AZ60" s="170"/>
      <c r="BA60" s="170"/>
      <c r="BB60" s="170"/>
      <c r="BC60" s="170"/>
      <c r="BD60" s="170"/>
      <c r="BE60" s="170"/>
      <c r="BF60" s="170"/>
      <c r="BG60" s="170"/>
      <c r="BH60" s="170"/>
      <c r="BI60" s="170"/>
      <c r="BJ60" s="170"/>
      <c r="BK60" s="170"/>
    </row>
    <row r="61" spans="1:63">
      <c r="A61" s="14">
        <f t="shared" si="8"/>
        <v>0</v>
      </c>
      <c r="B61" t="str">
        <f t="shared" si="9"/>
        <v/>
      </c>
      <c r="C61" t="str">
        <f>IFERROR(IF(V61&gt;0,INDEX('zN03-S05'!$BI$18:$BI$199,2*(ROWS(C$54:C61)-1)+1),""),"")</f>
        <v/>
      </c>
      <c r="D61" t="s">
        <v>50</v>
      </c>
      <c r="E61" t="s">
        <v>38</v>
      </c>
      <c r="F61" t="s">
        <v>849</v>
      </c>
      <c r="G61" t="str">
        <f>IFERROR(INDEX('zN03-S05'!$BE$18:$BE$199,2*(ROWS(G$54:G61)-1)+1),"")</f>
        <v/>
      </c>
      <c r="H61" s="207"/>
      <c r="I61" s="48">
        <f>IFERROR(INDEX('zN03-S05'!$AE$18:$AE$199,2*(ROWS(I$54:I61)-1)+1),"")</f>
        <v>0</v>
      </c>
      <c r="J61" s="560">
        <f>IFERROR(ROUND(INDEX('zN03-S05'!$AI$18:$AI$199,2*(ROWS(J$54:J61)-1)+1),2),"")</f>
        <v>0</v>
      </c>
      <c r="K61" s="560">
        <f>IFERROR(ROUND(INDEX('zN03-S05'!$AK$18:$AK$199,2*(ROWS(K$54:K61)-1)+1),2),"")</f>
        <v>0</v>
      </c>
      <c r="L61" s="13">
        <f>IFERROR(ROUND(INDEX('zN03-S05'!$AY$38:$AY$199,2*(ROWS(L$54:L61)-1)+1),2),"")</f>
        <v>0</v>
      </c>
      <c r="N61" s="13" t="str">
        <f>IFERROR(ROUND(INDEX('zN03-S05'!$BO$18:$BO$199,2*(ROWS(N$54:N61)-1)+1),2),"")</f>
        <v/>
      </c>
      <c r="O61" s="207"/>
      <c r="P61" s="10">
        <f>IFERROR(ROUND(INDEX('zN03-S05'!$U$18:$U$199,2*(ROWS(P$54:P61)-1)+1),3),"")</f>
        <v>0</v>
      </c>
      <c r="Q61" s="10">
        <f>IFERROR(ROUND(INDEX('zN03-S05'!$U$18:$U$199,2*(ROWS(Q$54:Q61)-1)+1),3),"")</f>
        <v>0</v>
      </c>
      <c r="R61" s="25">
        <f>IFERROR(INDEX('zN03-S05'!$BA$38:$BA$199,2*(ROWS(R$54:R61)-1)+1),"")</f>
        <v>0</v>
      </c>
      <c r="S61" s="25">
        <f>IFERROR(INDEX('zN03-S05'!$BF$18:$BF$199,2*(ROWS(S$54:S61)-1)+1),"")</f>
        <v>0</v>
      </c>
      <c r="T61" s="31">
        <f>IFERROR(INDEX('zN03-S05'!$BB$38:$BB$199,2*(ROWS(T$54:T61)-1)+1),"")</f>
        <v>0</v>
      </c>
      <c r="U61" s="31">
        <f>IFERROR(INDEX('zN03-S05'!$BG$18:$BG$199,2*(ROWS(U$54:U61)-1)+1),"")</f>
        <v>0</v>
      </c>
      <c r="V61" s="560" t="str">
        <f>IFERROR(INDEX('zN03-S05'!$AR$18:$AR$199,2*(ROWS(V$54:V61)-1)+1),"")</f>
        <v/>
      </c>
      <c r="W61" s="204"/>
      <c r="X61" s="204"/>
      <c r="Y61" s="204"/>
      <c r="Z61" s="189"/>
      <c r="AA61" s="189"/>
      <c r="AB61" s="189"/>
      <c r="AC61" s="215"/>
      <c r="AD61" s="215"/>
      <c r="AE61" s="207"/>
      <c r="AF61" s="207"/>
      <c r="AG61" s="216"/>
      <c r="AH61" s="216"/>
      <c r="AI61" s="189"/>
      <c r="AJ61" s="25">
        <f>IFERROR(INDEX('zN03-S05'!$BC$18:$BC$199,2*(ROWS(AJ$54:AJ61)-1)+1),"")</f>
        <v>0</v>
      </c>
      <c r="AK61" s="25">
        <f>IFERROR(INDEX('zN03-S05'!$BD$18:$BD$199,2*(ROWS(AK$54:AK61)-1)+1),"")</f>
        <v>0</v>
      </c>
      <c r="AL61" s="207"/>
      <c r="AM61" s="207"/>
      <c r="AN61" s="207"/>
      <c r="AO61">
        <f>IFERROR(INDEX('zN03-S05'!$B$18:$B$199,2*(ROWS(AO$54:AO61)-1)+1),"")</f>
        <v>8</v>
      </c>
      <c r="AP61" s="189"/>
      <c r="AQ61">
        <f>IFERROR(INDEX('zN03-S05'!$C$18:$C$199,2*(ROWS(AQ$54:AQ61)-1)+1),"")</f>
        <v>0</v>
      </c>
      <c r="AR61" s="189"/>
      <c r="AS61" s="48">
        <f>IFERROR(INDEX('zN03-S05'!$AA$18:$AA$199,2*(ROWS(AS$54:AS61)-1)+1),"")</f>
        <v>0</v>
      </c>
      <c r="AT61" s="204"/>
      <c r="AU61" s="204"/>
      <c r="AV61">
        <f>IFERROR(INDEX('zN03-S05'!$AZ$38:$AZ$199,2*(ROWS(AV$54:AV61)-1)+1),"")</f>
        <v>0</v>
      </c>
      <c r="AW61" s="189"/>
      <c r="AX61" t="str">
        <f>IFERROR(INDEX(STDREFRIG_N[Reporting Methodology],MATCH(C61,STDREFRIG_N[Measure Number],0)),"")</f>
        <v/>
      </c>
      <c r="AY61" s="170"/>
      <c r="AZ61" s="170"/>
      <c r="BA61" s="170"/>
      <c r="BB61" s="170"/>
      <c r="BC61" s="170"/>
      <c r="BD61" s="170"/>
      <c r="BE61" s="170"/>
      <c r="BF61" s="170"/>
      <c r="BG61" s="170"/>
      <c r="BH61" s="170"/>
      <c r="BI61" s="170"/>
      <c r="BJ61" s="170"/>
      <c r="BK61" s="170"/>
    </row>
    <row r="62" spans="1:63">
      <c r="A62" s="14">
        <f t="shared" si="8"/>
        <v>0</v>
      </c>
      <c r="B62" t="str">
        <f t="shared" si="9"/>
        <v/>
      </c>
      <c r="C62" t="str">
        <f>IFERROR(IF(V62&gt;0,INDEX('zN03-S05'!$BI$18:$BI$199,2*(ROWS(C$54:C62)-1)+1),""),"")</f>
        <v/>
      </c>
      <c r="D62" t="s">
        <v>50</v>
      </c>
      <c r="E62" t="s">
        <v>38</v>
      </c>
      <c r="F62" t="s">
        <v>849</v>
      </c>
      <c r="G62" t="str">
        <f>IFERROR(INDEX('zN03-S05'!$BE$18:$BE$199,2*(ROWS(G$54:G62)-1)+1),"")</f>
        <v/>
      </c>
      <c r="H62" s="207"/>
      <c r="I62" s="48">
        <f>IFERROR(INDEX('zN03-S05'!$AE$18:$AE$199,2*(ROWS(I$54:I62)-1)+1),"")</f>
        <v>0</v>
      </c>
      <c r="J62" s="560">
        <f>IFERROR(ROUND(INDEX('zN03-S05'!$AI$18:$AI$199,2*(ROWS(J$54:J62)-1)+1),2),"")</f>
        <v>0</v>
      </c>
      <c r="K62" s="560">
        <f>IFERROR(ROUND(INDEX('zN03-S05'!$AK$18:$AK$199,2*(ROWS(K$54:K62)-1)+1),2),"")</f>
        <v>0</v>
      </c>
      <c r="L62" s="13">
        <f>IFERROR(ROUND(INDEX('zN03-S05'!$AY$38:$AY$199,2*(ROWS(L$54:L62)-1)+1),2),"")</f>
        <v>0</v>
      </c>
      <c r="N62" s="13" t="str">
        <f>IFERROR(ROUND(INDEX('zN03-S05'!$BO$18:$BO$199,2*(ROWS(N$54:N62)-1)+1),2),"")</f>
        <v/>
      </c>
      <c r="O62" s="207"/>
      <c r="P62" s="10">
        <f>IFERROR(ROUND(INDEX('zN03-S05'!$U$18:$U$199,2*(ROWS(P$54:P62)-1)+1),3),"")</f>
        <v>0</v>
      </c>
      <c r="Q62" s="10">
        <f>IFERROR(ROUND(INDEX('zN03-S05'!$U$18:$U$199,2*(ROWS(Q$54:Q62)-1)+1),3),"")</f>
        <v>0</v>
      </c>
      <c r="R62" s="25">
        <f>IFERROR(INDEX('zN03-S05'!$BA$38:$BA$199,2*(ROWS(R$54:R62)-1)+1),"")</f>
        <v>0</v>
      </c>
      <c r="S62" s="25">
        <f>IFERROR(INDEX('zN03-S05'!$BF$18:$BF$199,2*(ROWS(S$54:S62)-1)+1),"")</f>
        <v>0</v>
      </c>
      <c r="T62" s="31">
        <f>IFERROR(INDEX('zN03-S05'!$BB$38:$BB$199,2*(ROWS(T$54:T62)-1)+1),"")</f>
        <v>0</v>
      </c>
      <c r="U62" s="31">
        <f>IFERROR(INDEX('zN03-S05'!$BG$18:$BG$199,2*(ROWS(U$54:U62)-1)+1),"")</f>
        <v>0</v>
      </c>
      <c r="V62" s="560" t="str">
        <f>IFERROR(INDEX('zN03-S05'!$AR$18:$AR$199,2*(ROWS(V$54:V62)-1)+1),"")</f>
        <v/>
      </c>
      <c r="W62" s="204"/>
      <c r="X62" s="204"/>
      <c r="Y62" s="204"/>
      <c r="Z62" s="189"/>
      <c r="AA62" s="189"/>
      <c r="AB62" s="189"/>
      <c r="AC62" s="215"/>
      <c r="AD62" s="215"/>
      <c r="AE62" s="207"/>
      <c r="AF62" s="207"/>
      <c r="AG62" s="216"/>
      <c r="AH62" s="216"/>
      <c r="AI62" s="189"/>
      <c r="AJ62" s="25">
        <f>IFERROR(INDEX('zN03-S05'!$BC$18:$BC$199,2*(ROWS(AJ$54:AJ62)-1)+1),"")</f>
        <v>0</v>
      </c>
      <c r="AK62" s="25">
        <f>IFERROR(INDEX('zN03-S05'!$BD$18:$BD$199,2*(ROWS(AK$54:AK62)-1)+1),"")</f>
        <v>0</v>
      </c>
      <c r="AL62" s="207"/>
      <c r="AM62" s="207"/>
      <c r="AN62" s="207"/>
      <c r="AO62">
        <f>IFERROR(INDEX('zN03-S05'!$B$18:$B$199,2*(ROWS(AO$54:AO62)-1)+1),"")</f>
        <v>9</v>
      </c>
      <c r="AP62" s="189"/>
      <c r="AQ62">
        <f>IFERROR(INDEX('zN03-S05'!$C$18:$C$199,2*(ROWS(AQ$54:AQ62)-1)+1),"")</f>
        <v>0</v>
      </c>
      <c r="AR62" s="189"/>
      <c r="AS62" s="48">
        <f>IFERROR(INDEX('zN03-S05'!$AA$18:$AA$199,2*(ROWS(AS$54:AS62)-1)+1),"")</f>
        <v>0</v>
      </c>
      <c r="AT62" s="204"/>
      <c r="AU62" s="204"/>
      <c r="AV62">
        <f>IFERROR(INDEX('zN03-S05'!$AZ$38:$AZ$199,2*(ROWS(AV$54:AV62)-1)+1),"")</f>
        <v>0</v>
      </c>
      <c r="AW62" s="189"/>
      <c r="AX62" t="str">
        <f>IFERROR(INDEX(STDREFRIG_N[Reporting Methodology],MATCH(C62,STDREFRIG_N[Measure Number],0)),"")</f>
        <v/>
      </c>
      <c r="AY62" s="170"/>
      <c r="AZ62" s="170"/>
      <c r="BA62" s="170"/>
      <c r="BB62" s="170"/>
      <c r="BC62" s="170"/>
      <c r="BD62" s="170"/>
      <c r="BE62" s="170"/>
      <c r="BF62" s="170"/>
      <c r="BG62" s="170"/>
      <c r="BH62" s="170"/>
      <c r="BI62" s="170"/>
      <c r="BJ62" s="170"/>
      <c r="BK62" s="170"/>
    </row>
    <row r="63" spans="1:63">
      <c r="A63" s="14">
        <f t="shared" si="8"/>
        <v>0</v>
      </c>
      <c r="B63" t="str">
        <f t="shared" si="9"/>
        <v/>
      </c>
      <c r="C63" t="str">
        <f>IFERROR(IF(V63&gt;0,INDEX('zN03-S05'!$BI$18:$BI$199,2*(ROWS(C$54:C63)-1)+1),""),"")</f>
        <v/>
      </c>
      <c r="D63" t="s">
        <v>50</v>
      </c>
      <c r="E63" t="s">
        <v>38</v>
      </c>
      <c r="F63" t="s">
        <v>849</v>
      </c>
      <c r="G63" t="str">
        <f>IFERROR(INDEX('zN03-S05'!$BE$18:$BE$199,2*(ROWS(G$54:G63)-1)+1),"")</f>
        <v/>
      </c>
      <c r="H63" s="207"/>
      <c r="I63" s="48">
        <f>IFERROR(INDEX('zN03-S05'!$AE$18:$AE$199,2*(ROWS(I$54:I63)-1)+1),"")</f>
        <v>0</v>
      </c>
      <c r="J63" s="560">
        <f>IFERROR(ROUND(INDEX('zN03-S05'!$AI$18:$AI$199,2*(ROWS(J$54:J63)-1)+1),2),"")</f>
        <v>0</v>
      </c>
      <c r="K63" s="560">
        <f>IFERROR(ROUND(INDEX('zN03-S05'!$AK$18:$AK$199,2*(ROWS(K$54:K63)-1)+1),2),"")</f>
        <v>0</v>
      </c>
      <c r="L63" s="13">
        <f>IFERROR(ROUND(INDEX('zN03-S05'!$AY$38:$AY$199,2*(ROWS(L$54:L63)-1)+1),2),"")</f>
        <v>0</v>
      </c>
      <c r="N63" s="13" t="str">
        <f>IFERROR(ROUND(INDEX('zN03-S05'!$BO$18:$BO$199,2*(ROWS(N$54:N63)-1)+1),2),"")</f>
        <v/>
      </c>
      <c r="O63" s="207"/>
      <c r="P63" s="10">
        <f>IFERROR(ROUND(INDEX('zN03-S05'!$U$18:$U$199,2*(ROWS(P$54:P63)-1)+1),3),"")</f>
        <v>0</v>
      </c>
      <c r="Q63" s="10">
        <f>IFERROR(ROUND(INDEX('zN03-S05'!$U$18:$U$199,2*(ROWS(Q$54:Q63)-1)+1),3),"")</f>
        <v>0</v>
      </c>
      <c r="R63" s="25">
        <f>IFERROR(INDEX('zN03-S05'!$BA$38:$BA$199,2*(ROWS(R$54:R63)-1)+1),"")</f>
        <v>0</v>
      </c>
      <c r="S63" s="25">
        <f>IFERROR(INDEX('zN03-S05'!$BF$18:$BF$199,2*(ROWS(S$54:S63)-1)+1),"")</f>
        <v>0</v>
      </c>
      <c r="T63" s="31">
        <f>IFERROR(INDEX('zN03-S05'!$BB$38:$BB$199,2*(ROWS(T$54:T63)-1)+1),"")</f>
        <v>0</v>
      </c>
      <c r="U63" s="31">
        <f>IFERROR(INDEX('zN03-S05'!$BG$18:$BG$199,2*(ROWS(U$54:U63)-1)+1),"")</f>
        <v>0</v>
      </c>
      <c r="V63" s="560" t="str">
        <f>IFERROR(INDEX('zN03-S05'!$AR$18:$AR$199,2*(ROWS(V$54:V63)-1)+1),"")</f>
        <v/>
      </c>
      <c r="W63" s="204"/>
      <c r="X63" s="204"/>
      <c r="Y63" s="204"/>
      <c r="Z63" s="189"/>
      <c r="AA63" s="189"/>
      <c r="AB63" s="189"/>
      <c r="AC63" s="215"/>
      <c r="AD63" s="215"/>
      <c r="AE63" s="207"/>
      <c r="AF63" s="207"/>
      <c r="AG63" s="216"/>
      <c r="AH63" s="216"/>
      <c r="AI63" s="189"/>
      <c r="AJ63" s="25">
        <f>IFERROR(INDEX('zN03-S05'!$BC$18:$BC$199,2*(ROWS(AJ$54:AJ63)-1)+1),"")</f>
        <v>0</v>
      </c>
      <c r="AK63" s="25">
        <f>IFERROR(INDEX('zN03-S05'!$BD$18:$BD$199,2*(ROWS(AK$54:AK63)-1)+1),"")</f>
        <v>0</v>
      </c>
      <c r="AL63" s="207"/>
      <c r="AM63" s="207"/>
      <c r="AN63" s="207"/>
      <c r="AO63">
        <f>IFERROR(INDEX('zN03-S05'!$B$18:$B$199,2*(ROWS(AO$54:AO63)-1)+1),"")</f>
        <v>10</v>
      </c>
      <c r="AP63" s="189"/>
      <c r="AQ63">
        <f>IFERROR(INDEX('zN03-S05'!$C$18:$C$199,2*(ROWS(AQ$54:AQ63)-1)+1),"")</f>
        <v>0</v>
      </c>
      <c r="AR63" s="189"/>
      <c r="AS63" s="48">
        <f>IFERROR(INDEX('zN03-S05'!$AA$18:$AA$199,2*(ROWS(AS$54:AS63)-1)+1),"")</f>
        <v>0</v>
      </c>
      <c r="AT63" s="204"/>
      <c r="AU63" s="204"/>
      <c r="AV63">
        <f>IFERROR(INDEX('zN03-S05'!$AZ$38:$AZ$199,2*(ROWS(AV$54:AV63)-1)+1),"")</f>
        <v>0</v>
      </c>
      <c r="AW63" s="189"/>
      <c r="AX63" t="str">
        <f>IFERROR(INDEX(STDREFRIG_N[Reporting Methodology],MATCH(C63,STDREFRIG_N[Measure Number],0)),"")</f>
        <v/>
      </c>
      <c r="AY63" s="170"/>
      <c r="AZ63" s="170"/>
      <c r="BA63" s="170"/>
      <c r="BB63" s="170"/>
      <c r="BC63" s="170"/>
      <c r="BD63" s="170"/>
      <c r="BE63" s="170"/>
      <c r="BF63" s="170"/>
      <c r="BG63" s="170"/>
      <c r="BH63" s="170"/>
      <c r="BI63" s="170"/>
      <c r="BJ63" s="170"/>
      <c r="BK63" s="170"/>
    </row>
    <row r="64" spans="1:63">
      <c r="A64" s="14">
        <f t="shared" si="8"/>
        <v>0</v>
      </c>
      <c r="B64" t="str">
        <f t="shared" si="9"/>
        <v/>
      </c>
      <c r="C64" t="str">
        <f>IFERROR(IF(V64&gt;0,INDEX('zN03-S05'!$BI$18:$BI$199,2*(ROWS(C$54:C64)-1)+1),""),"")</f>
        <v/>
      </c>
      <c r="D64" t="s">
        <v>50</v>
      </c>
      <c r="E64" t="s">
        <v>38</v>
      </c>
      <c r="F64" t="s">
        <v>849</v>
      </c>
      <c r="G64">
        <f>IFERROR(INDEX('zN03-S05'!$BE$18:$BE$199,2*(ROWS(G$54:G64)-1)+1),"")</f>
        <v>0</v>
      </c>
      <c r="H64" s="207"/>
      <c r="I64" s="48">
        <f>IFERROR(INDEX('zN03-S05'!$AE$18:$AE$199,2*(ROWS(I$54:I64)-1)+1),"")</f>
        <v>0</v>
      </c>
      <c r="J64" s="560">
        <f>IFERROR(ROUND(INDEX('zN03-S05'!$AI$18:$AI$199,2*(ROWS(J$54:J64)-1)+1),2),"")</f>
        <v>0</v>
      </c>
      <c r="K64" s="560">
        <f>IFERROR(ROUND(INDEX('zN03-S05'!$AK$18:$AK$199,2*(ROWS(K$54:K64)-1)+1),2),"")</f>
        <v>0</v>
      </c>
      <c r="L64" s="13">
        <f>IFERROR(ROUND(INDEX('zN03-S05'!$AY$38:$AY$199,2*(ROWS(L$54:L64)-1)+1),2),"")</f>
        <v>0</v>
      </c>
      <c r="N64" s="13">
        <f>IFERROR(ROUND(INDEX('zN03-S05'!$BO$18:$BO$199,2*(ROWS(N$54:N64)-1)+1),2),"")</f>
        <v>0</v>
      </c>
      <c r="O64" s="207"/>
      <c r="P64" s="10">
        <f>IFERROR(ROUND(INDEX('zN03-S05'!$U$18:$U$199,2*(ROWS(P$54:P64)-1)+1),3),"")</f>
        <v>0</v>
      </c>
      <c r="Q64" s="10">
        <f>IFERROR(ROUND(INDEX('zN03-S05'!$U$18:$U$199,2*(ROWS(Q$54:Q64)-1)+1),3),"")</f>
        <v>0</v>
      </c>
      <c r="R64" s="25">
        <f>IFERROR(INDEX('zN03-S05'!$BA$38:$BA$199,2*(ROWS(R$54:R64)-1)+1),"")</f>
        <v>0</v>
      </c>
      <c r="S64" s="25">
        <f>IFERROR(INDEX('zN03-S05'!$BF$18:$BF$199,2*(ROWS(S$54:S64)-1)+1),"")</f>
        <v>0</v>
      </c>
      <c r="T64" s="31">
        <f>IFERROR(INDEX('zN03-S05'!$BB$38:$BB$199,2*(ROWS(T$54:T64)-1)+1),"")</f>
        <v>0</v>
      </c>
      <c r="U64" s="31">
        <f>IFERROR(INDEX('zN03-S05'!$BG$18:$BG$199,2*(ROWS(U$54:U64)-1)+1),"")</f>
        <v>0</v>
      </c>
      <c r="V64" s="560">
        <f>IFERROR(INDEX('zN03-S05'!$AR$18:$AR$199,2*(ROWS(V$54:V64)-1)+1),"")</f>
        <v>0</v>
      </c>
      <c r="W64" s="204"/>
      <c r="X64" s="204"/>
      <c r="Y64" s="204"/>
      <c r="Z64" s="189"/>
      <c r="AA64" s="189"/>
      <c r="AB64" s="189"/>
      <c r="AC64" s="215"/>
      <c r="AD64" s="215"/>
      <c r="AE64" s="207"/>
      <c r="AF64" s="207"/>
      <c r="AG64" s="216"/>
      <c r="AH64" s="216"/>
      <c r="AI64" s="189"/>
      <c r="AJ64" s="25">
        <f>IFERROR(INDEX('zN03-S05'!$BC$18:$BC$199,2*(ROWS(AJ$54:AJ64)-1)+1),"")</f>
        <v>0</v>
      </c>
      <c r="AK64" s="25">
        <f>IFERROR(INDEX('zN03-S05'!$BD$18:$BD$199,2*(ROWS(AK$54:AK64)-1)+1),"")</f>
        <v>0</v>
      </c>
      <c r="AL64" s="207"/>
      <c r="AM64" s="207"/>
      <c r="AN64" s="207"/>
      <c r="AO64">
        <f>IFERROR(INDEX('zN03-S05'!$B$18:$B$199,2*(ROWS(AO$54:AO64)-1)+1),"")</f>
        <v>0</v>
      </c>
      <c r="AP64" s="189"/>
      <c r="AQ64">
        <f>IFERROR(INDEX('zN03-S05'!$C$18:$C$199,2*(ROWS(AQ$54:AQ64)-1)+1),"")</f>
        <v>0</v>
      </c>
      <c r="AR64" s="189"/>
      <c r="AS64" s="48">
        <f>IFERROR(INDEX('zN03-S05'!$AA$18:$AA$199,2*(ROWS(AS$54:AS64)-1)+1),"")</f>
        <v>0</v>
      </c>
      <c r="AT64" s="204"/>
      <c r="AU64" s="204"/>
      <c r="AV64">
        <f>IFERROR(INDEX('zN03-S05'!$AZ$38:$AZ$199,2*(ROWS(AV$54:AV64)-1)+1),"")</f>
        <v>0</v>
      </c>
      <c r="AW64" s="189"/>
      <c r="AX64" t="str">
        <f>IFERROR(INDEX(STDREFRIG_N[Reporting Methodology],MATCH(C64,STDREFRIG_N[Measure Number],0)),"")</f>
        <v/>
      </c>
      <c r="AY64" s="170"/>
      <c r="AZ64" s="170"/>
      <c r="BA64" s="170"/>
      <c r="BB64" s="170"/>
      <c r="BC64" s="170"/>
      <c r="BD64" s="170"/>
      <c r="BE64" s="170"/>
      <c r="BF64" s="170"/>
      <c r="BG64" s="170"/>
      <c r="BH64" s="170"/>
      <c r="BI64" s="170"/>
      <c r="BJ64" s="170"/>
      <c r="BK64" s="170"/>
    </row>
    <row r="65" spans="1:63">
      <c r="A65" s="14">
        <f t="shared" si="8"/>
        <v>0</v>
      </c>
      <c r="B65" t="str">
        <f t="shared" si="9"/>
        <v/>
      </c>
      <c r="C65" t="str">
        <f>IFERROR(IF(V65&gt;0,INDEX('zN03-S05'!$BI$18:$BI$199,2*(ROWS(C$54:C65)-1)+1),""),"")</f>
        <v/>
      </c>
      <c r="D65" t="s">
        <v>50</v>
      </c>
      <c r="E65" t="s">
        <v>38</v>
      </c>
      <c r="F65" t="s">
        <v>849</v>
      </c>
      <c r="G65">
        <f>IFERROR(INDEX('zN03-S05'!$BE$18:$BE$199,2*(ROWS(G$54:G65)-1)+1),"")</f>
        <v>0</v>
      </c>
      <c r="H65" s="207"/>
      <c r="I65" s="48">
        <f>IFERROR(INDEX('zN03-S05'!$AE$18:$AE$199,2*(ROWS(I$54:I65)-1)+1),"")</f>
        <v>0</v>
      </c>
      <c r="J65" s="560">
        <f>IFERROR(ROUND(INDEX('zN03-S05'!$AI$18:$AI$199,2*(ROWS(J$54:J65)-1)+1),2),"")</f>
        <v>0</v>
      </c>
      <c r="K65" s="560">
        <f>IFERROR(ROUND(INDEX('zN03-S05'!$AK$18:$AK$199,2*(ROWS(K$54:K65)-1)+1),2),"")</f>
        <v>0</v>
      </c>
      <c r="L65" s="13">
        <f>IFERROR(ROUND(INDEX('zN03-S05'!$AY$38:$AY$199,2*(ROWS(L$54:L65)-1)+1),2),"")</f>
        <v>0</v>
      </c>
      <c r="N65" s="13">
        <f>IFERROR(ROUND(INDEX('zN03-S05'!$BO$18:$BO$199,2*(ROWS(N$54:N65)-1)+1),2),"")</f>
        <v>0</v>
      </c>
      <c r="O65" s="207"/>
      <c r="P65" s="10">
        <f>IFERROR(ROUND(INDEX('zN03-S05'!$U$18:$U$199,2*(ROWS(P$54:P65)-1)+1),3),"")</f>
        <v>0</v>
      </c>
      <c r="Q65" s="10">
        <f>IFERROR(ROUND(INDEX('zN03-S05'!$U$18:$U$199,2*(ROWS(Q$54:Q65)-1)+1),3),"")</f>
        <v>0</v>
      </c>
      <c r="R65" s="25">
        <f>IFERROR(INDEX('zN03-S05'!$BA$38:$BA$199,2*(ROWS(R$54:R65)-1)+1),"")</f>
        <v>0</v>
      </c>
      <c r="S65" s="25">
        <f>IFERROR(INDEX('zN03-S05'!$BF$18:$BF$199,2*(ROWS(S$54:S65)-1)+1),"")</f>
        <v>0</v>
      </c>
      <c r="T65" s="31">
        <f>IFERROR(INDEX('zN03-S05'!$BB$38:$BB$199,2*(ROWS(T$54:T65)-1)+1),"")</f>
        <v>0</v>
      </c>
      <c r="U65" s="31">
        <f>IFERROR(INDEX('zN03-S05'!$BG$18:$BG$199,2*(ROWS(U$54:U65)-1)+1),"")</f>
        <v>0</v>
      </c>
      <c r="V65" s="560">
        <f>IFERROR(INDEX('zN03-S05'!$AR$18:$AR$199,2*(ROWS(V$54:V65)-1)+1),"")</f>
        <v>0</v>
      </c>
      <c r="W65" s="204"/>
      <c r="X65" s="204"/>
      <c r="Y65" s="204"/>
      <c r="Z65" s="189"/>
      <c r="AA65" s="189"/>
      <c r="AB65" s="189"/>
      <c r="AC65" s="215"/>
      <c r="AD65" s="215"/>
      <c r="AE65" s="207"/>
      <c r="AF65" s="207"/>
      <c r="AG65" s="216"/>
      <c r="AH65" s="216"/>
      <c r="AI65" s="189"/>
      <c r="AJ65" s="25">
        <f>IFERROR(INDEX('zN03-S05'!$BC$18:$BC$199,2*(ROWS(AJ$54:AJ65)-1)+1),"")</f>
        <v>0</v>
      </c>
      <c r="AK65" s="25">
        <f>IFERROR(INDEX('zN03-S05'!$BD$18:$BD$199,2*(ROWS(AK$54:AK65)-1)+1),"")</f>
        <v>0</v>
      </c>
      <c r="AL65" s="207"/>
      <c r="AM65" s="207"/>
      <c r="AN65" s="207"/>
      <c r="AO65">
        <f>IFERROR(INDEX('zN03-S05'!$B$18:$B$199,2*(ROWS(AO$54:AO65)-1)+1),"")</f>
        <v>0</v>
      </c>
      <c r="AP65" s="189"/>
      <c r="AQ65">
        <f>IFERROR(INDEX('zN03-S05'!$C$18:$C$199,2*(ROWS(AQ$54:AQ65)-1)+1),"")</f>
        <v>0</v>
      </c>
      <c r="AR65" s="189"/>
      <c r="AS65" s="48">
        <f>IFERROR(INDEX('zN03-S05'!$AA$18:$AA$199,2*(ROWS(AS$54:AS65)-1)+1),"")</f>
        <v>0</v>
      </c>
      <c r="AT65" s="204"/>
      <c r="AU65" s="204"/>
      <c r="AV65">
        <f>IFERROR(INDEX('zN03-S05'!$AZ$38:$AZ$199,2*(ROWS(AV$54:AV65)-1)+1),"")</f>
        <v>0</v>
      </c>
      <c r="AW65" s="189"/>
      <c r="AX65" t="str">
        <f>IFERROR(INDEX(STDREFRIG_N[Reporting Methodology],MATCH(C65,STDREFRIG_N[Measure Number],0)),"")</f>
        <v/>
      </c>
      <c r="AY65" s="170"/>
      <c r="AZ65" s="170"/>
      <c r="BA65" s="170"/>
      <c r="BB65" s="170"/>
      <c r="BC65" s="170"/>
      <c r="BD65" s="170"/>
      <c r="BE65" s="170"/>
      <c r="BF65" s="170"/>
      <c r="BG65" s="170"/>
      <c r="BH65" s="170"/>
      <c r="BI65" s="170"/>
      <c r="BJ65" s="170"/>
      <c r="BK65" s="170"/>
    </row>
    <row r="66" spans="1:63">
      <c r="A66" s="14">
        <f t="shared" si="8"/>
        <v>0</v>
      </c>
      <c r="B66" t="str">
        <f t="shared" si="9"/>
        <v/>
      </c>
      <c r="C66" t="str">
        <f>IFERROR(IF(V66&gt;0,INDEX('zN03-S05'!$BI$18:$BI$199,2*(ROWS(C$54:C66)-1)+1),""),"")</f>
        <v/>
      </c>
      <c r="D66" t="s">
        <v>50</v>
      </c>
      <c r="E66" t="s">
        <v>38</v>
      </c>
      <c r="F66" t="s">
        <v>849</v>
      </c>
      <c r="G66">
        <f>IFERROR(INDEX('zN03-S05'!$BE$18:$BE$199,2*(ROWS(G$54:G66)-1)+1),"")</f>
        <v>0</v>
      </c>
      <c r="H66" s="207"/>
      <c r="I66" s="48">
        <f>IFERROR(INDEX('zN03-S05'!$AE$18:$AE$199,2*(ROWS(I$54:I66)-1)+1),"")</f>
        <v>0</v>
      </c>
      <c r="J66" s="560">
        <f>IFERROR(ROUND(INDEX('zN03-S05'!$AI$18:$AI$199,2*(ROWS(J$54:J66)-1)+1),2),"")</f>
        <v>0</v>
      </c>
      <c r="K66" s="560">
        <f>IFERROR(ROUND(INDEX('zN03-S05'!$AK$18:$AK$199,2*(ROWS(K$54:K66)-1)+1),2),"")</f>
        <v>0</v>
      </c>
      <c r="L66" s="13">
        <f>IFERROR(ROUND(INDEX('zN03-S05'!$AY$38:$AY$199,2*(ROWS(L$54:L66)-1)+1),2),"")</f>
        <v>0</v>
      </c>
      <c r="N66" s="13">
        <f>IFERROR(ROUND(INDEX('zN03-S05'!$BO$18:$BO$199,2*(ROWS(N$54:N66)-1)+1),2),"")</f>
        <v>0</v>
      </c>
      <c r="O66" s="207"/>
      <c r="P66" s="10">
        <f>IFERROR(ROUND(INDEX('zN03-S05'!$U$18:$U$199,2*(ROWS(P$54:P66)-1)+1),3),"")</f>
        <v>0</v>
      </c>
      <c r="Q66" s="10">
        <f>IFERROR(ROUND(INDEX('zN03-S05'!$U$18:$U$199,2*(ROWS(Q$54:Q66)-1)+1),3),"")</f>
        <v>0</v>
      </c>
      <c r="R66" s="25">
        <f>IFERROR(INDEX('zN03-S05'!$BA$38:$BA$199,2*(ROWS(R$54:R66)-1)+1),"")</f>
        <v>0</v>
      </c>
      <c r="S66" s="25">
        <f>IFERROR(INDEX('zN03-S05'!$BF$18:$BF$199,2*(ROWS(S$54:S66)-1)+1),"")</f>
        <v>0</v>
      </c>
      <c r="T66" s="31">
        <f>IFERROR(INDEX('zN03-S05'!$BB$38:$BB$199,2*(ROWS(T$54:T66)-1)+1),"")</f>
        <v>0</v>
      </c>
      <c r="U66" s="31">
        <f>IFERROR(INDEX('zN03-S05'!$BG$18:$BG$199,2*(ROWS(U$54:U66)-1)+1),"")</f>
        <v>0</v>
      </c>
      <c r="V66" s="560">
        <f>IFERROR(INDEX('zN03-S05'!$AR$18:$AR$199,2*(ROWS(V$54:V66)-1)+1),"")</f>
        <v>0</v>
      </c>
      <c r="W66" s="204"/>
      <c r="X66" s="204"/>
      <c r="Y66" s="204"/>
      <c r="Z66" s="189"/>
      <c r="AA66" s="189"/>
      <c r="AB66" s="189"/>
      <c r="AC66" s="215"/>
      <c r="AD66" s="215"/>
      <c r="AE66" s="207"/>
      <c r="AF66" s="207"/>
      <c r="AG66" s="216"/>
      <c r="AH66" s="216"/>
      <c r="AI66" s="189"/>
      <c r="AJ66" s="25">
        <f>IFERROR(INDEX('zN03-S05'!$BC$18:$BC$199,2*(ROWS(AJ$54:AJ66)-1)+1),"")</f>
        <v>0</v>
      </c>
      <c r="AK66" s="25">
        <f>IFERROR(INDEX('zN03-S05'!$BD$18:$BD$199,2*(ROWS(AK$54:AK66)-1)+1),"")</f>
        <v>0</v>
      </c>
      <c r="AL66" s="207"/>
      <c r="AM66" s="207"/>
      <c r="AN66" s="207"/>
      <c r="AO66">
        <f>IFERROR(INDEX('zN03-S05'!$B$18:$B$199,2*(ROWS(AO$54:AO66)-1)+1),"")</f>
        <v>0</v>
      </c>
      <c r="AP66" s="189"/>
      <c r="AQ66">
        <f>IFERROR(INDEX('zN03-S05'!$C$18:$C$199,2*(ROWS(AQ$54:AQ66)-1)+1),"")</f>
        <v>0</v>
      </c>
      <c r="AR66" s="189"/>
      <c r="AS66" s="48">
        <f>IFERROR(INDEX('zN03-S05'!$AA$18:$AA$199,2*(ROWS(AS$54:AS66)-1)+1),"")</f>
        <v>0</v>
      </c>
      <c r="AT66" s="204"/>
      <c r="AU66" s="204"/>
      <c r="AV66">
        <f>IFERROR(INDEX('zN03-S05'!$AZ$38:$AZ$199,2*(ROWS(AV$54:AV66)-1)+1),"")</f>
        <v>0</v>
      </c>
      <c r="AW66" s="189"/>
      <c r="AX66" t="str">
        <f>IFERROR(INDEX(STDREFRIG_N[Reporting Methodology],MATCH(C66,STDREFRIG_N[Measure Number],0)),"")</f>
        <v/>
      </c>
      <c r="AY66" s="170"/>
      <c r="AZ66" s="170"/>
      <c r="BA66" s="170"/>
      <c r="BB66" s="170"/>
      <c r="BC66" s="170"/>
      <c r="BD66" s="170"/>
      <c r="BE66" s="170"/>
      <c r="BF66" s="170"/>
      <c r="BG66" s="170"/>
      <c r="BH66" s="170"/>
      <c r="BI66" s="170"/>
      <c r="BJ66" s="170"/>
      <c r="BK66" s="170"/>
    </row>
    <row r="67" spans="1:63">
      <c r="A67" s="14">
        <f t="shared" si="8"/>
        <v>0</v>
      </c>
      <c r="B67" t="str">
        <f t="shared" si="9"/>
        <v/>
      </c>
      <c r="C67" t="str">
        <f>IFERROR(IF(V67&gt;0,INDEX('zN03-S05'!$BI$18:$BI$199,2*(ROWS(C$54:C67)-1)+1),""),"")</f>
        <v/>
      </c>
      <c r="D67" t="s">
        <v>50</v>
      </c>
      <c r="E67" t="s">
        <v>38</v>
      </c>
      <c r="F67" t="s">
        <v>849</v>
      </c>
      <c r="G67">
        <f>IFERROR(INDEX('zN03-S05'!$BE$18:$BE$199,2*(ROWS(G$54:G67)-1)+1),"")</f>
        <v>0</v>
      </c>
      <c r="H67" s="207"/>
      <c r="I67" s="48">
        <f>IFERROR(INDEX('zN03-S05'!$AE$18:$AE$199,2*(ROWS(I$54:I67)-1)+1),"")</f>
        <v>0</v>
      </c>
      <c r="J67" s="560">
        <f>IFERROR(ROUND(INDEX('zN03-S05'!$AI$18:$AI$199,2*(ROWS(J$54:J67)-1)+1),2),"")</f>
        <v>0</v>
      </c>
      <c r="K67" s="560">
        <f>IFERROR(ROUND(INDEX('zN03-S05'!$AK$18:$AK$199,2*(ROWS(K$54:K67)-1)+1),2),"")</f>
        <v>0</v>
      </c>
      <c r="L67" s="13">
        <f>IFERROR(ROUND(INDEX('zN03-S05'!$AY$38:$AY$199,2*(ROWS(L$54:L67)-1)+1),2),"")</f>
        <v>0</v>
      </c>
      <c r="N67" s="13">
        <f>IFERROR(ROUND(INDEX('zN03-S05'!$BO$18:$BO$199,2*(ROWS(N$54:N67)-1)+1),2),"")</f>
        <v>0</v>
      </c>
      <c r="O67" s="207"/>
      <c r="P67" s="10">
        <f>IFERROR(ROUND(INDEX('zN03-S05'!$U$18:$U$199,2*(ROWS(P$54:P67)-1)+1),3),"")</f>
        <v>0</v>
      </c>
      <c r="Q67" s="10">
        <f>IFERROR(ROUND(INDEX('zN03-S05'!$U$18:$U$199,2*(ROWS(Q$54:Q67)-1)+1),3),"")</f>
        <v>0</v>
      </c>
      <c r="R67" s="25">
        <f>IFERROR(INDEX('zN03-S05'!$BA$38:$BA$199,2*(ROWS(R$54:R67)-1)+1),"")</f>
        <v>0</v>
      </c>
      <c r="S67" s="25">
        <f>IFERROR(INDEX('zN03-S05'!$BF$18:$BF$199,2*(ROWS(S$54:S67)-1)+1),"")</f>
        <v>0</v>
      </c>
      <c r="T67" s="31">
        <f>IFERROR(INDEX('zN03-S05'!$BB$38:$BB$199,2*(ROWS(T$54:T67)-1)+1),"")</f>
        <v>0</v>
      </c>
      <c r="U67" s="31">
        <f>IFERROR(INDEX('zN03-S05'!$BG$18:$BG$199,2*(ROWS(U$54:U67)-1)+1),"")</f>
        <v>0</v>
      </c>
      <c r="V67" s="560">
        <f>IFERROR(INDEX('zN03-S05'!$AR$18:$AR$199,2*(ROWS(V$54:V67)-1)+1),"")</f>
        <v>0</v>
      </c>
      <c r="W67" s="204"/>
      <c r="X67" s="204"/>
      <c r="Y67" s="204"/>
      <c r="Z67" s="189"/>
      <c r="AA67" s="189"/>
      <c r="AB67" s="189"/>
      <c r="AC67" s="215"/>
      <c r="AD67" s="215"/>
      <c r="AE67" s="207"/>
      <c r="AF67" s="207"/>
      <c r="AG67" s="216"/>
      <c r="AH67" s="216"/>
      <c r="AI67" s="189"/>
      <c r="AJ67" s="25">
        <f>IFERROR(INDEX('zN03-S05'!$BC$18:$BC$199,2*(ROWS(AJ$54:AJ67)-1)+1),"")</f>
        <v>0</v>
      </c>
      <c r="AK67" s="25">
        <f>IFERROR(INDEX('zN03-S05'!$BD$18:$BD$199,2*(ROWS(AK$54:AK67)-1)+1),"")</f>
        <v>0</v>
      </c>
      <c r="AL67" s="207"/>
      <c r="AM67" s="207"/>
      <c r="AN67" s="207"/>
      <c r="AO67">
        <f>IFERROR(INDEX('zN03-S05'!$B$18:$B$199,2*(ROWS(AO$54:AO67)-1)+1),"")</f>
        <v>0</v>
      </c>
      <c r="AP67" s="189"/>
      <c r="AQ67">
        <f>IFERROR(INDEX('zN03-S05'!$C$18:$C$199,2*(ROWS(AQ$54:AQ67)-1)+1),"")</f>
        <v>0</v>
      </c>
      <c r="AR67" s="189"/>
      <c r="AS67" s="48">
        <f>IFERROR(INDEX('zN03-S05'!$AA$18:$AA$199,2*(ROWS(AS$54:AS67)-1)+1),"")</f>
        <v>0</v>
      </c>
      <c r="AT67" s="204"/>
      <c r="AU67" s="204"/>
      <c r="AV67">
        <f>IFERROR(INDEX('zN03-S05'!$AZ$38:$AZ$199,2*(ROWS(AV$54:AV67)-1)+1),"")</f>
        <v>0</v>
      </c>
      <c r="AW67" s="189"/>
      <c r="AX67" t="str">
        <f>IFERROR(INDEX(STDREFRIG_N[Reporting Methodology],MATCH(C67,STDREFRIG_N[Measure Number],0)),"")</f>
        <v/>
      </c>
      <c r="AY67" s="170"/>
      <c r="AZ67" s="170"/>
      <c r="BA67" s="170"/>
      <c r="BB67" s="170"/>
      <c r="BC67" s="170"/>
      <c r="BD67" s="170"/>
      <c r="BE67" s="170"/>
      <c r="BF67" s="170"/>
      <c r="BG67" s="170"/>
      <c r="BH67" s="170"/>
      <c r="BI67" s="170"/>
      <c r="BJ67" s="170"/>
      <c r="BK67" s="170"/>
    </row>
    <row r="68" spans="1:63">
      <c r="A68" s="14">
        <f t="shared" si="8"/>
        <v>0</v>
      </c>
      <c r="B68" t="str">
        <f t="shared" si="9"/>
        <v/>
      </c>
      <c r="C68" t="str">
        <f>IFERROR(IF(V68&gt;0,INDEX('zN03-S05'!$BI$18:$BI$199,2*(ROWS(C$54:C68)-1)+1),""),"")</f>
        <v/>
      </c>
      <c r="D68" t="s">
        <v>50</v>
      </c>
      <c r="E68" t="s">
        <v>38</v>
      </c>
      <c r="F68" t="s">
        <v>849</v>
      </c>
      <c r="G68">
        <f>IFERROR(INDEX('zN03-S05'!$BE$18:$BE$199,2*(ROWS(G$54:G68)-1)+1),"")</f>
        <v>0</v>
      </c>
      <c r="H68" s="207"/>
      <c r="I68" s="48">
        <f>IFERROR(INDEX('zN03-S05'!$AE$18:$AE$199,2*(ROWS(I$54:I68)-1)+1),"")</f>
        <v>0</v>
      </c>
      <c r="J68" s="560">
        <f>IFERROR(ROUND(INDEX('zN03-S05'!$AI$18:$AI$199,2*(ROWS(J$54:J68)-1)+1),2),"")</f>
        <v>0</v>
      </c>
      <c r="K68" s="560">
        <f>IFERROR(ROUND(INDEX('zN03-S05'!$AK$18:$AK$199,2*(ROWS(K$54:K68)-1)+1),2),"")</f>
        <v>0</v>
      </c>
      <c r="L68" s="13">
        <f>IFERROR(ROUND(INDEX('zN03-S05'!$AY$38:$AY$199,2*(ROWS(L$54:L68)-1)+1),2),"")</f>
        <v>0</v>
      </c>
      <c r="N68" s="13">
        <f>IFERROR(ROUND(INDEX('zN03-S05'!$BO$18:$BO$199,2*(ROWS(N$54:N68)-1)+1),2),"")</f>
        <v>0</v>
      </c>
      <c r="O68" s="207"/>
      <c r="P68" s="10">
        <f>IFERROR(ROUND(INDEX('zN03-S05'!$U$18:$U$199,2*(ROWS(P$54:P68)-1)+1),3),"")</f>
        <v>0</v>
      </c>
      <c r="Q68" s="10">
        <f>IFERROR(ROUND(INDEX('zN03-S05'!$U$18:$U$199,2*(ROWS(Q$54:Q68)-1)+1),3),"")</f>
        <v>0</v>
      </c>
      <c r="R68" s="25">
        <f>IFERROR(INDEX('zN03-S05'!$BA$38:$BA$199,2*(ROWS(R$54:R68)-1)+1),"")</f>
        <v>0</v>
      </c>
      <c r="S68" s="25">
        <f>IFERROR(INDEX('zN03-S05'!$BF$18:$BF$199,2*(ROWS(S$54:S68)-1)+1),"")</f>
        <v>0</v>
      </c>
      <c r="T68" s="31">
        <f>IFERROR(INDEX('zN03-S05'!$BB$38:$BB$199,2*(ROWS(T$54:T68)-1)+1),"")</f>
        <v>0</v>
      </c>
      <c r="U68" s="31">
        <f>IFERROR(INDEX('zN03-S05'!$BG$18:$BG$199,2*(ROWS(U$54:U68)-1)+1),"")</f>
        <v>0</v>
      </c>
      <c r="V68" s="560">
        <f>IFERROR(INDEX('zN03-S05'!$AR$18:$AR$199,2*(ROWS(V$54:V68)-1)+1),"")</f>
        <v>0</v>
      </c>
      <c r="W68" s="204"/>
      <c r="X68" s="204"/>
      <c r="Y68" s="204"/>
      <c r="Z68" s="189"/>
      <c r="AA68" s="189"/>
      <c r="AB68" s="189"/>
      <c r="AC68" s="215"/>
      <c r="AD68" s="215"/>
      <c r="AE68" s="207"/>
      <c r="AF68" s="207"/>
      <c r="AG68" s="216"/>
      <c r="AH68" s="216"/>
      <c r="AI68" s="189"/>
      <c r="AJ68" s="25">
        <f>IFERROR(INDEX('zN03-S05'!$BC$18:$BC$199,2*(ROWS(AJ$54:AJ68)-1)+1),"")</f>
        <v>0</v>
      </c>
      <c r="AK68" s="25">
        <f>IFERROR(INDEX('zN03-S05'!$BD$18:$BD$199,2*(ROWS(AK$54:AK68)-1)+1),"")</f>
        <v>0</v>
      </c>
      <c r="AL68" s="207"/>
      <c r="AM68" s="207"/>
      <c r="AN68" s="207"/>
      <c r="AO68">
        <f>IFERROR(INDEX('zN03-S05'!$B$18:$B$199,2*(ROWS(AO$54:AO68)-1)+1),"")</f>
        <v>0</v>
      </c>
      <c r="AP68" s="189"/>
      <c r="AQ68">
        <f>IFERROR(INDEX('zN03-S05'!$C$18:$C$199,2*(ROWS(AQ$54:AQ68)-1)+1),"")</f>
        <v>0</v>
      </c>
      <c r="AR68" s="189"/>
      <c r="AS68" s="48">
        <f>IFERROR(INDEX('zN03-S05'!$AA$18:$AA$199,2*(ROWS(AS$54:AS68)-1)+1),"")</f>
        <v>0</v>
      </c>
      <c r="AT68" s="204"/>
      <c r="AU68" s="204"/>
      <c r="AV68">
        <f>IFERROR(INDEX('zN03-S05'!$AZ$38:$AZ$199,2*(ROWS(AV$54:AV68)-1)+1),"")</f>
        <v>0</v>
      </c>
      <c r="AW68" s="189"/>
      <c r="AX68" t="str">
        <f>IFERROR(INDEX(STDREFRIG_N[Reporting Methodology],MATCH(C68,STDREFRIG_N[Measure Number],0)),"")</f>
        <v/>
      </c>
      <c r="AY68" s="170"/>
      <c r="AZ68" s="170"/>
      <c r="BA68" s="170"/>
      <c r="BB68" s="170"/>
      <c r="BC68" s="170"/>
      <c r="BD68" s="170"/>
      <c r="BE68" s="170"/>
      <c r="BF68" s="170"/>
      <c r="BG68" s="170"/>
      <c r="BH68" s="170"/>
      <c r="BI68" s="170"/>
      <c r="BJ68" s="170"/>
      <c r="BK68" s="170"/>
    </row>
    <row r="69" spans="1:63">
      <c r="A69" s="222" t="str">
        <f>"Standard "&amp;N3S6</f>
        <v>Standard Water Heating / Food Services</v>
      </c>
      <c r="B69" s="190"/>
      <c r="C69" s="190"/>
      <c r="D69" s="190"/>
      <c r="E69" s="190"/>
      <c r="F69" s="190"/>
      <c r="G69" s="190"/>
      <c r="H69" s="206"/>
      <c r="I69" s="190"/>
      <c r="J69" s="202"/>
      <c r="K69" s="202"/>
      <c r="L69" s="202"/>
      <c r="M69" s="190"/>
      <c r="N69" s="190"/>
      <c r="O69" s="190"/>
      <c r="P69" s="210"/>
      <c r="Q69" s="210"/>
      <c r="R69" s="206"/>
      <c r="S69" s="206"/>
      <c r="T69" s="213"/>
      <c r="U69" s="213"/>
      <c r="V69" s="202"/>
      <c r="W69" s="202"/>
      <c r="X69" s="202"/>
      <c r="Y69" s="202"/>
      <c r="Z69" s="190"/>
      <c r="AA69" s="190"/>
      <c r="AB69" s="190"/>
      <c r="AC69" s="210"/>
      <c r="AD69" s="210"/>
      <c r="AE69" s="206"/>
      <c r="AF69" s="206"/>
      <c r="AG69" s="213"/>
      <c r="AH69" s="213"/>
      <c r="AI69" s="190"/>
      <c r="AJ69" s="206"/>
      <c r="AK69" s="206"/>
      <c r="AL69" s="206"/>
      <c r="AM69" s="206"/>
      <c r="AN69" s="206"/>
      <c r="AO69" s="190"/>
      <c r="AP69" s="190"/>
      <c r="AQ69" s="191"/>
      <c r="AR69" s="190"/>
      <c r="AS69" s="190"/>
      <c r="AT69" s="202"/>
      <c r="AU69" s="202"/>
      <c r="AV69" s="190"/>
      <c r="AW69" s="190"/>
      <c r="AX69" s="190"/>
      <c r="AY69" s="170"/>
      <c r="AZ69" s="170"/>
      <c r="BA69" s="170"/>
      <c r="BB69" s="170"/>
      <c r="BC69" s="170"/>
      <c r="BD69" s="170"/>
      <c r="BE69" s="170"/>
      <c r="BF69" s="170"/>
      <c r="BG69" s="170"/>
      <c r="BH69" s="170"/>
      <c r="BI69" s="170"/>
      <c r="BJ69" s="170"/>
      <c r="BK69" s="170"/>
    </row>
    <row r="70" spans="1:63">
      <c r="A70" s="14">
        <f t="shared" ref="A70:A84" si="10">PROJID_N</f>
        <v>0</v>
      </c>
      <c r="B70" t="str">
        <f>IF(C70="","",CONCATENATE(ROW(),"-",C70))</f>
        <v/>
      </c>
      <c r="C70" t="str">
        <f>IFERROR(IF(V70&gt;0,INDEX('N03-S06'!$BI$18:$BI$199,2*(ROWS(C$70:C70)-1)+1),""),"")</f>
        <v/>
      </c>
      <c r="D70" t="s">
        <v>50</v>
      </c>
      <c r="E70" t="s">
        <v>38</v>
      </c>
      <c r="F70" t="s">
        <v>849</v>
      </c>
      <c r="G70" t="str">
        <f>IFERROR(INDEX('N03-S06'!$BE$18:$BE$199,2*(ROWS(G$70:G70)-1)+1),"")</f>
        <v/>
      </c>
      <c r="H70" s="207"/>
      <c r="I70" s="48">
        <f>IFERROR(INDEX('N03-S06'!$AE$18:$AE$199,2*(ROWS(I$70:I70)-1)+1),"")</f>
        <v>0</v>
      </c>
      <c r="J70" s="560">
        <f>IFERROR(ROUND(INDEX('N03-S06'!$AI$18:$AI$199,2*(ROWS(J$70:J70)-1)+1),2),"")</f>
        <v>0</v>
      </c>
      <c r="K70" s="560">
        <f>IFERROR(ROUND(INDEX('N03-S06'!$AK$18:$AK$199,2*(ROWS(K$70:K70)-1)+1),2),"")</f>
        <v>0</v>
      </c>
      <c r="L70" s="13">
        <f>IFERROR(ROUND(INDEX('N03-S06'!$AY$38:$AY$199,2*(ROWS(L$70:L70)-1)+1),2),"")</f>
        <v>0</v>
      </c>
      <c r="N70" s="13" t="str">
        <f>IFERROR(ROUND(INDEX('N03-S06'!$BO$18:$BO$199,2*(ROWS(N$70:N70)-1)+1),2),"")</f>
        <v/>
      </c>
      <c r="O70" s="207"/>
      <c r="P70" s="10">
        <f>IFERROR(ROUND(INDEX('N03-S06'!$U$18:$U$199,2*(ROWS(P$70:P70)-1)+1),3),"")</f>
        <v>0</v>
      </c>
      <c r="Q70" s="10">
        <f>IFERROR(ROUND(INDEX('N03-S06'!$U$18:$U$199,2*(ROWS(Q$70:Q70)-1)+1),3),"")</f>
        <v>0</v>
      </c>
      <c r="R70" s="25">
        <f>IFERROR(INDEX('N03-S06'!$BA$38:$BA$199,2*(ROWS(R$70:R70)-1)+1),"")</f>
        <v>0</v>
      </c>
      <c r="S70" s="25">
        <f>IFERROR(INDEX('N03-S06'!$BF$18:$BF$199,2*(ROWS(S$70:S70)-1)+1),"")</f>
        <v>0</v>
      </c>
      <c r="T70" s="31">
        <f>IFERROR(INDEX('N03-S06'!$BB$38:$BB$199,2*(ROWS(T$70:T70)-1)+1),"")</f>
        <v>0</v>
      </c>
      <c r="U70" s="31">
        <f>IFERROR(INDEX('N03-S06'!$BG$18:$BG$199,2*(ROWS(U$70:U70)-1)+1),"")</f>
        <v>0</v>
      </c>
      <c r="V70" s="560" t="str">
        <f>IFERROR(INDEX('N03-S06'!$AR$18:$AR$199,2*(ROWS(V$70:V70)-1)+1),"")</f>
        <v/>
      </c>
      <c r="W70" s="204"/>
      <c r="X70" s="204"/>
      <c r="Y70" s="204"/>
      <c r="Z70" s="189"/>
      <c r="AA70" s="189"/>
      <c r="AB70" s="189"/>
      <c r="AC70" s="215"/>
      <c r="AD70" s="215"/>
      <c r="AE70" s="207"/>
      <c r="AF70" s="207"/>
      <c r="AG70" s="216"/>
      <c r="AH70" s="216"/>
      <c r="AI70" s="189"/>
      <c r="AJ70" s="25">
        <f>IFERROR(INDEX('N03-S06'!$BC$18:$BC$199,2*(ROWS(AJ$70:AJ70)-1)+1),"")</f>
        <v>0</v>
      </c>
      <c r="AK70" s="25">
        <f>IFERROR(INDEX('N03-S06'!$BD$18:$BD$199,2*(ROWS(AK$70:AK70)-1)+1),"")</f>
        <v>0</v>
      </c>
      <c r="AL70" s="207"/>
      <c r="AM70" s="207"/>
      <c r="AN70" s="207"/>
      <c r="AO70">
        <f>IFERROR(INDEX('N03-S06'!$B$18:$B$199,2*(ROWS(AO$70:AO70)-1)+1),"")</f>
        <v>1</v>
      </c>
      <c r="AP70" s="189"/>
      <c r="AQ70">
        <f>IFERROR(INDEX('N03-S06'!$C$18:$C$199,2*(ROWS(AQ$70:AQ70)-1)+1),"")</f>
        <v>0</v>
      </c>
      <c r="AR70" s="189"/>
      <c r="AS70" s="48">
        <f>IFERROR(INDEX('N03-S06'!$AA$18:$AA$199,2*(ROWS(AS$70:AS70)-1)+1),"")</f>
        <v>0</v>
      </c>
      <c r="AT70" s="204"/>
      <c r="AU70" s="204"/>
      <c r="AV70">
        <f>IFERROR(INDEX('N03-S06'!$AZ$38:$AZ$199,2*(ROWS(AV$70:AV70)-1)+1),"")</f>
        <v>0</v>
      </c>
      <c r="AW70" s="189"/>
      <c r="AX70" t="str">
        <f>IFERROR(INDEX(STDWATER_N[Reporting Methodology],MATCH(C70,STDWATER_N[Measure Number],0)),"")</f>
        <v/>
      </c>
      <c r="AY70" s="170"/>
      <c r="AZ70" s="170"/>
      <c r="BA70" s="170"/>
      <c r="BB70" s="170"/>
      <c r="BC70" s="170"/>
      <c r="BD70" s="170"/>
      <c r="BE70" s="170"/>
      <c r="BF70" s="170"/>
      <c r="BG70" s="170"/>
      <c r="BH70" s="170"/>
      <c r="BI70" s="170"/>
      <c r="BJ70" s="170"/>
      <c r="BK70" s="170"/>
    </row>
    <row r="71" spans="1:63">
      <c r="A71" s="14">
        <f t="shared" si="10"/>
        <v>0</v>
      </c>
      <c r="B71" t="str">
        <f t="shared" ref="B71:B84" si="11">IF(C71="","",CONCATENATE(ROW(),"-",C71))</f>
        <v/>
      </c>
      <c r="C71" t="str">
        <f>IFERROR(IF(V71&gt;0,INDEX('N03-S06'!$BI$18:$BI$199,2*(ROWS(C$70:C71)-1)+1),""),"")</f>
        <v/>
      </c>
      <c r="D71" t="s">
        <v>50</v>
      </c>
      <c r="E71" t="s">
        <v>38</v>
      </c>
      <c r="F71" t="s">
        <v>849</v>
      </c>
      <c r="G71" t="str">
        <f>IFERROR(INDEX('N03-S06'!$BE$18:$BE$199,2*(ROWS(G$70:G71)-1)+1),"")</f>
        <v/>
      </c>
      <c r="H71" s="207"/>
      <c r="I71" s="48">
        <f>IFERROR(INDEX('N03-S06'!$AE$18:$AE$199,2*(ROWS(I$70:I71)-1)+1),"")</f>
        <v>0</v>
      </c>
      <c r="J71" s="560">
        <f>IFERROR(ROUND(INDEX('N03-S06'!$AI$18:$AI$199,2*(ROWS(J$70:J71)-1)+1),2),"")</f>
        <v>0</v>
      </c>
      <c r="K71" s="560">
        <f>IFERROR(ROUND(INDEX('N03-S06'!$AK$18:$AK$199,2*(ROWS(K$70:K71)-1)+1),2),"")</f>
        <v>0</v>
      </c>
      <c r="L71" s="13">
        <f>IFERROR(ROUND(INDEX('N03-S06'!$AY$38:$AY$199,2*(ROWS(L$70:L71)-1)+1),2),"")</f>
        <v>0</v>
      </c>
      <c r="N71" s="13" t="str">
        <f>IFERROR(ROUND(INDEX('N03-S06'!$BO$18:$BO$199,2*(ROWS(N$70:N71)-1)+1),2),"")</f>
        <v/>
      </c>
      <c r="O71" s="207"/>
      <c r="P71" s="10">
        <f>IFERROR(ROUND(INDEX('N03-S06'!$U$18:$U$199,2*(ROWS(P$70:P71)-1)+1),3),"")</f>
        <v>0</v>
      </c>
      <c r="Q71" s="10">
        <f>IFERROR(ROUND(INDEX('N03-S06'!$U$18:$U$199,2*(ROWS(Q$70:Q71)-1)+1),3),"")</f>
        <v>0</v>
      </c>
      <c r="R71" s="25">
        <f>IFERROR(INDEX('N03-S06'!$BA$38:$BA$199,2*(ROWS(R$70:R71)-1)+1),"")</f>
        <v>0</v>
      </c>
      <c r="S71" s="25">
        <f>IFERROR(INDEX('N03-S06'!$BF$18:$BF$199,2*(ROWS(S$70:S71)-1)+1),"")</f>
        <v>0</v>
      </c>
      <c r="T71" s="31">
        <f>IFERROR(INDEX('N03-S06'!$BB$38:$BB$199,2*(ROWS(T$70:T71)-1)+1),"")</f>
        <v>0</v>
      </c>
      <c r="U71" s="31">
        <f>IFERROR(INDEX('N03-S06'!$BG$18:$BG$199,2*(ROWS(U$70:U71)-1)+1),"")</f>
        <v>0</v>
      </c>
      <c r="V71" s="560" t="str">
        <f>IFERROR(INDEX('N03-S06'!$AR$18:$AR$199,2*(ROWS(V$70:V71)-1)+1),"")</f>
        <v/>
      </c>
      <c r="W71" s="204"/>
      <c r="X71" s="204"/>
      <c r="Y71" s="204"/>
      <c r="Z71" s="189"/>
      <c r="AA71" s="189"/>
      <c r="AB71" s="189"/>
      <c r="AC71" s="215"/>
      <c r="AD71" s="215"/>
      <c r="AE71" s="207"/>
      <c r="AF71" s="207"/>
      <c r="AG71" s="216"/>
      <c r="AH71" s="216"/>
      <c r="AI71" s="189"/>
      <c r="AJ71" s="25">
        <f>IFERROR(INDEX('N03-S06'!$BC$18:$BC$199,2*(ROWS(AJ$70:AJ71)-1)+1),"")</f>
        <v>0</v>
      </c>
      <c r="AK71" s="25">
        <f>IFERROR(INDEX('N03-S06'!$BD$18:$BD$199,2*(ROWS(AK$70:AK71)-1)+1),"")</f>
        <v>0</v>
      </c>
      <c r="AL71" s="207"/>
      <c r="AM71" s="207"/>
      <c r="AN71" s="207"/>
      <c r="AO71">
        <f>IFERROR(INDEX('N03-S06'!$B$18:$B$199,2*(ROWS(AO$70:AO71)-1)+1),"")</f>
        <v>2</v>
      </c>
      <c r="AP71" s="189"/>
      <c r="AQ71">
        <f>IFERROR(INDEX('N03-S06'!$C$18:$C$199,2*(ROWS(AQ$70:AQ71)-1)+1),"")</f>
        <v>0</v>
      </c>
      <c r="AR71" s="189"/>
      <c r="AS71" s="48">
        <f>IFERROR(INDEX('N03-S06'!$AA$18:$AA$199,2*(ROWS(AS$70:AS71)-1)+1),"")</f>
        <v>0</v>
      </c>
      <c r="AT71" s="204"/>
      <c r="AU71" s="204"/>
      <c r="AV71">
        <f>IFERROR(INDEX('N03-S06'!$AZ$38:$AZ$199,2*(ROWS(AV$70:AV71)-1)+1),"")</f>
        <v>0</v>
      </c>
      <c r="AW71" s="189"/>
      <c r="AX71" t="str">
        <f>IFERROR(INDEX(STDWATER_N[Reporting Methodology],MATCH(C71,STDWATER_N[Measure Number],0)),"")</f>
        <v/>
      </c>
      <c r="AY71" s="170"/>
      <c r="AZ71" s="170"/>
      <c r="BA71" s="170"/>
      <c r="BB71" s="170"/>
      <c r="BC71" s="170"/>
      <c r="BD71" s="170"/>
      <c r="BE71" s="170"/>
      <c r="BF71" s="170"/>
      <c r="BG71" s="170"/>
      <c r="BH71" s="170"/>
      <c r="BI71" s="170"/>
      <c r="BJ71" s="170"/>
      <c r="BK71" s="170"/>
    </row>
    <row r="72" spans="1:63">
      <c r="A72" s="14">
        <f t="shared" si="10"/>
        <v>0</v>
      </c>
      <c r="B72" t="str">
        <f t="shared" si="11"/>
        <v/>
      </c>
      <c r="C72" t="str">
        <f>IFERROR(IF(V72&gt;0,INDEX('N03-S06'!$BI$18:$BI$199,2*(ROWS(C$70:C72)-1)+1),""),"")</f>
        <v/>
      </c>
      <c r="D72" t="s">
        <v>50</v>
      </c>
      <c r="E72" t="s">
        <v>38</v>
      </c>
      <c r="F72" t="s">
        <v>849</v>
      </c>
      <c r="G72" t="str">
        <f>IFERROR(INDEX('N03-S06'!$BE$18:$BE$199,2*(ROWS(G$70:G72)-1)+1),"")</f>
        <v/>
      </c>
      <c r="H72" s="207"/>
      <c r="I72" s="48">
        <f>IFERROR(INDEX('N03-S06'!$AE$18:$AE$199,2*(ROWS(I$70:I72)-1)+1),"")</f>
        <v>0</v>
      </c>
      <c r="J72" s="560">
        <f>IFERROR(ROUND(INDEX('N03-S06'!$AI$18:$AI$199,2*(ROWS(J$70:J72)-1)+1),2),"")</f>
        <v>0</v>
      </c>
      <c r="K72" s="560">
        <f>IFERROR(ROUND(INDEX('N03-S06'!$AK$18:$AK$199,2*(ROWS(K$70:K72)-1)+1),2),"")</f>
        <v>0</v>
      </c>
      <c r="L72" s="13">
        <f>IFERROR(ROUND(INDEX('N03-S06'!$AY$38:$AY$199,2*(ROWS(L$70:L72)-1)+1),2),"")</f>
        <v>0</v>
      </c>
      <c r="N72" s="13" t="str">
        <f>IFERROR(ROUND(INDEX('N03-S06'!$BO$18:$BO$199,2*(ROWS(N$70:N72)-1)+1),2),"")</f>
        <v/>
      </c>
      <c r="O72" s="207"/>
      <c r="P72" s="10">
        <f>IFERROR(ROUND(INDEX('N03-S06'!$U$18:$U$199,2*(ROWS(P$70:P72)-1)+1),3),"")</f>
        <v>0</v>
      </c>
      <c r="Q72" s="10">
        <f>IFERROR(ROUND(INDEX('N03-S06'!$U$18:$U$199,2*(ROWS(Q$70:Q72)-1)+1),3),"")</f>
        <v>0</v>
      </c>
      <c r="R72" s="25">
        <f>IFERROR(INDEX('N03-S06'!$BA$38:$BA$199,2*(ROWS(R$70:R72)-1)+1),"")</f>
        <v>0</v>
      </c>
      <c r="S72" s="25">
        <f>IFERROR(INDEX('N03-S06'!$BF$18:$BF$199,2*(ROWS(S$70:S72)-1)+1),"")</f>
        <v>0</v>
      </c>
      <c r="T72" s="31">
        <f>IFERROR(INDEX('N03-S06'!$BB$38:$BB$199,2*(ROWS(T$70:T72)-1)+1),"")</f>
        <v>0</v>
      </c>
      <c r="U72" s="31">
        <f>IFERROR(INDEX('N03-S06'!$BG$18:$BG$199,2*(ROWS(U$70:U72)-1)+1),"")</f>
        <v>0</v>
      </c>
      <c r="V72" s="560" t="str">
        <f>IFERROR(INDEX('N03-S06'!$AR$18:$AR$199,2*(ROWS(V$70:V72)-1)+1),"")</f>
        <v/>
      </c>
      <c r="W72" s="204"/>
      <c r="X72" s="204"/>
      <c r="Y72" s="204"/>
      <c r="Z72" s="189"/>
      <c r="AA72" s="189"/>
      <c r="AB72" s="189"/>
      <c r="AC72" s="215"/>
      <c r="AD72" s="215"/>
      <c r="AE72" s="207"/>
      <c r="AF72" s="207"/>
      <c r="AG72" s="216"/>
      <c r="AH72" s="216"/>
      <c r="AI72" s="189"/>
      <c r="AJ72" s="25">
        <f>IFERROR(INDEX('N03-S06'!$BC$18:$BC$199,2*(ROWS(AJ$70:AJ72)-1)+1),"")</f>
        <v>0</v>
      </c>
      <c r="AK72" s="25">
        <f>IFERROR(INDEX('N03-S06'!$BD$18:$BD$199,2*(ROWS(AK$70:AK72)-1)+1),"")</f>
        <v>0</v>
      </c>
      <c r="AL72" s="207"/>
      <c r="AM72" s="207"/>
      <c r="AN72" s="207"/>
      <c r="AO72">
        <f>IFERROR(INDEX('N03-S06'!$B$18:$B$199,2*(ROWS(AO$70:AO72)-1)+1),"")</f>
        <v>3</v>
      </c>
      <c r="AP72" s="189"/>
      <c r="AQ72">
        <f>IFERROR(INDEX('N03-S06'!$C$18:$C$199,2*(ROWS(AQ$70:AQ72)-1)+1),"")</f>
        <v>0</v>
      </c>
      <c r="AR72" s="189"/>
      <c r="AS72" s="48">
        <f>IFERROR(INDEX('N03-S06'!$AA$18:$AA$199,2*(ROWS(AS$70:AS72)-1)+1),"")</f>
        <v>0</v>
      </c>
      <c r="AT72" s="204"/>
      <c r="AU72" s="204"/>
      <c r="AV72">
        <f>IFERROR(INDEX('N03-S06'!$AZ$38:$AZ$199,2*(ROWS(AV$70:AV72)-1)+1),"")</f>
        <v>0</v>
      </c>
      <c r="AW72" s="189"/>
      <c r="AX72" t="str">
        <f>IFERROR(INDEX(STDWATER_N[Reporting Methodology],MATCH(C72,STDWATER_N[Measure Number],0)),"")</f>
        <v/>
      </c>
      <c r="AY72" s="170"/>
      <c r="AZ72" s="170"/>
      <c r="BA72" s="170"/>
      <c r="BB72" s="170"/>
      <c r="BC72" s="170"/>
      <c r="BD72" s="170"/>
      <c r="BE72" s="170"/>
      <c r="BF72" s="170"/>
      <c r="BG72" s="170"/>
      <c r="BH72" s="170"/>
      <c r="BI72" s="170"/>
      <c r="BJ72" s="170"/>
      <c r="BK72" s="170"/>
    </row>
    <row r="73" spans="1:63">
      <c r="A73" s="14">
        <f t="shared" si="10"/>
        <v>0</v>
      </c>
      <c r="B73" t="str">
        <f t="shared" si="11"/>
        <v/>
      </c>
      <c r="C73" t="str">
        <f>IFERROR(IF(V73&gt;0,INDEX('N03-S06'!$BI$18:$BI$199,2*(ROWS(C$70:C73)-1)+1),""),"")</f>
        <v/>
      </c>
      <c r="D73" t="s">
        <v>50</v>
      </c>
      <c r="E73" t="s">
        <v>38</v>
      </c>
      <c r="F73" t="s">
        <v>849</v>
      </c>
      <c r="G73" t="str">
        <f>IFERROR(INDEX('N03-S06'!$BE$18:$BE$199,2*(ROWS(G$70:G73)-1)+1),"")</f>
        <v/>
      </c>
      <c r="H73" s="207"/>
      <c r="I73" s="48">
        <f>IFERROR(INDEX('N03-S06'!$AE$18:$AE$199,2*(ROWS(I$70:I73)-1)+1),"")</f>
        <v>0</v>
      </c>
      <c r="J73" s="560">
        <f>IFERROR(ROUND(INDEX('N03-S06'!$AI$18:$AI$199,2*(ROWS(J$70:J73)-1)+1),2),"")</f>
        <v>0</v>
      </c>
      <c r="K73" s="560">
        <f>IFERROR(ROUND(INDEX('N03-S06'!$AK$18:$AK$199,2*(ROWS(K$70:K73)-1)+1),2),"")</f>
        <v>0</v>
      </c>
      <c r="L73" s="13">
        <f>IFERROR(ROUND(INDEX('N03-S06'!$AY$38:$AY$199,2*(ROWS(L$70:L73)-1)+1),2),"")</f>
        <v>0</v>
      </c>
      <c r="N73" s="13" t="str">
        <f>IFERROR(ROUND(INDEX('N03-S06'!$BO$18:$BO$199,2*(ROWS(N$70:N73)-1)+1),2),"")</f>
        <v/>
      </c>
      <c r="O73" s="207"/>
      <c r="P73" s="10">
        <f>IFERROR(ROUND(INDEX('N03-S06'!$U$18:$U$199,2*(ROWS(P$70:P73)-1)+1),3),"")</f>
        <v>0</v>
      </c>
      <c r="Q73" s="10">
        <f>IFERROR(ROUND(INDEX('N03-S06'!$U$18:$U$199,2*(ROWS(Q$70:Q73)-1)+1),3),"")</f>
        <v>0</v>
      </c>
      <c r="R73" s="25">
        <f>IFERROR(INDEX('N03-S06'!$BA$38:$BA$199,2*(ROWS(R$70:R73)-1)+1),"")</f>
        <v>0</v>
      </c>
      <c r="S73" s="25">
        <f>IFERROR(INDEX('N03-S06'!$BF$18:$BF$199,2*(ROWS(S$70:S73)-1)+1),"")</f>
        <v>0</v>
      </c>
      <c r="T73" s="31">
        <f>IFERROR(INDEX('N03-S06'!$BB$38:$BB$199,2*(ROWS(T$70:T73)-1)+1),"")</f>
        <v>0</v>
      </c>
      <c r="U73" s="31">
        <f>IFERROR(INDEX('N03-S06'!$BG$18:$BG$199,2*(ROWS(U$70:U73)-1)+1),"")</f>
        <v>0</v>
      </c>
      <c r="V73" s="560" t="str">
        <f>IFERROR(INDEX('N03-S06'!$AR$18:$AR$199,2*(ROWS(V$70:V73)-1)+1),"")</f>
        <v/>
      </c>
      <c r="W73" s="204"/>
      <c r="X73" s="204"/>
      <c r="Y73" s="204"/>
      <c r="Z73" s="189"/>
      <c r="AA73" s="189"/>
      <c r="AB73" s="189"/>
      <c r="AC73" s="215"/>
      <c r="AD73" s="215"/>
      <c r="AE73" s="207"/>
      <c r="AF73" s="207"/>
      <c r="AG73" s="216"/>
      <c r="AH73" s="216"/>
      <c r="AI73" s="189"/>
      <c r="AJ73" s="25">
        <f>IFERROR(INDEX('N03-S06'!$BC$18:$BC$199,2*(ROWS(AJ$70:AJ73)-1)+1),"")</f>
        <v>0</v>
      </c>
      <c r="AK73" s="25">
        <f>IFERROR(INDEX('N03-S06'!$BD$18:$BD$199,2*(ROWS(AK$70:AK73)-1)+1),"")</f>
        <v>0</v>
      </c>
      <c r="AL73" s="207"/>
      <c r="AM73" s="207"/>
      <c r="AN73" s="207"/>
      <c r="AO73">
        <f>IFERROR(INDEX('N03-S06'!$B$18:$B$199,2*(ROWS(AO$70:AO73)-1)+1),"")</f>
        <v>4</v>
      </c>
      <c r="AP73" s="189"/>
      <c r="AQ73">
        <f>IFERROR(INDEX('N03-S06'!$C$18:$C$199,2*(ROWS(AQ$70:AQ73)-1)+1),"")</f>
        <v>0</v>
      </c>
      <c r="AR73" s="189"/>
      <c r="AS73" s="48">
        <f>IFERROR(INDEX('N03-S06'!$AA$18:$AA$199,2*(ROWS(AS$70:AS73)-1)+1),"")</f>
        <v>0</v>
      </c>
      <c r="AT73" s="204"/>
      <c r="AU73" s="204"/>
      <c r="AV73">
        <f>IFERROR(INDEX('N03-S06'!$AZ$38:$AZ$199,2*(ROWS(AV$70:AV73)-1)+1),"")</f>
        <v>0</v>
      </c>
      <c r="AW73" s="189"/>
      <c r="AX73" t="str">
        <f>IFERROR(INDEX(STDWATER_N[Reporting Methodology],MATCH(C73,STDWATER_N[Measure Number],0)),"")</f>
        <v/>
      </c>
      <c r="AY73" s="170"/>
      <c r="AZ73" s="170"/>
      <c r="BA73" s="170"/>
      <c r="BB73" s="170"/>
      <c r="BC73" s="170"/>
      <c r="BD73" s="170"/>
      <c r="BE73" s="170"/>
      <c r="BF73" s="170"/>
      <c r="BG73" s="170"/>
      <c r="BH73" s="170"/>
      <c r="BI73" s="170"/>
      <c r="BJ73" s="170"/>
      <c r="BK73" s="170"/>
    </row>
    <row r="74" spans="1:63">
      <c r="A74" s="14">
        <f t="shared" si="10"/>
        <v>0</v>
      </c>
      <c r="B74" t="str">
        <f t="shared" si="11"/>
        <v/>
      </c>
      <c r="C74" t="str">
        <f>IFERROR(IF(V74&gt;0,INDEX('N03-S06'!$BI$18:$BI$199,2*(ROWS(C$70:C74)-1)+1),""),"")</f>
        <v/>
      </c>
      <c r="D74" t="s">
        <v>50</v>
      </c>
      <c r="E74" t="s">
        <v>38</v>
      </c>
      <c r="F74" t="s">
        <v>849</v>
      </c>
      <c r="G74" t="str">
        <f>IFERROR(INDEX('N03-S06'!$BE$18:$BE$199,2*(ROWS(G$70:G74)-1)+1),"")</f>
        <v/>
      </c>
      <c r="H74" s="207"/>
      <c r="I74" s="48">
        <f>IFERROR(INDEX('N03-S06'!$AE$18:$AE$199,2*(ROWS(I$70:I74)-1)+1),"")</f>
        <v>0</v>
      </c>
      <c r="J74" s="560">
        <f>IFERROR(ROUND(INDEX('N03-S06'!$AI$18:$AI$199,2*(ROWS(J$70:J74)-1)+1),2),"")</f>
        <v>0</v>
      </c>
      <c r="K74" s="560">
        <f>IFERROR(ROUND(INDEX('N03-S06'!$AK$18:$AK$199,2*(ROWS(K$70:K74)-1)+1),2),"")</f>
        <v>0</v>
      </c>
      <c r="L74" s="13">
        <f>IFERROR(ROUND(INDEX('N03-S06'!$AY$38:$AY$199,2*(ROWS(L$70:L74)-1)+1),2),"")</f>
        <v>0</v>
      </c>
      <c r="N74" s="13" t="str">
        <f>IFERROR(ROUND(INDEX('N03-S06'!$BO$18:$BO$199,2*(ROWS(N$70:N74)-1)+1),2),"")</f>
        <v/>
      </c>
      <c r="O74" s="207"/>
      <c r="P74" s="10">
        <f>IFERROR(ROUND(INDEX('N03-S06'!$U$18:$U$199,2*(ROWS(P$70:P74)-1)+1),3),"")</f>
        <v>0</v>
      </c>
      <c r="Q74" s="10">
        <f>IFERROR(ROUND(INDEX('N03-S06'!$U$18:$U$199,2*(ROWS(Q$70:Q74)-1)+1),3),"")</f>
        <v>0</v>
      </c>
      <c r="R74" s="25">
        <f>IFERROR(INDEX('N03-S06'!$BA$38:$BA$199,2*(ROWS(R$70:R74)-1)+1),"")</f>
        <v>0</v>
      </c>
      <c r="S74" s="25">
        <f>IFERROR(INDEX('N03-S06'!$BF$18:$BF$199,2*(ROWS(S$70:S74)-1)+1),"")</f>
        <v>0</v>
      </c>
      <c r="T74" s="31">
        <f>IFERROR(INDEX('N03-S06'!$BB$38:$BB$199,2*(ROWS(T$70:T74)-1)+1),"")</f>
        <v>0</v>
      </c>
      <c r="U74" s="31">
        <f>IFERROR(INDEX('N03-S06'!$BG$18:$BG$199,2*(ROWS(U$70:U74)-1)+1),"")</f>
        <v>0</v>
      </c>
      <c r="V74" s="560" t="str">
        <f>IFERROR(INDEX('N03-S06'!$AR$18:$AR$199,2*(ROWS(V$70:V74)-1)+1),"")</f>
        <v/>
      </c>
      <c r="W74" s="204"/>
      <c r="X74" s="204"/>
      <c r="Y74" s="204"/>
      <c r="Z74" s="189"/>
      <c r="AA74" s="189"/>
      <c r="AB74" s="189"/>
      <c r="AC74" s="215"/>
      <c r="AD74" s="215"/>
      <c r="AE74" s="207"/>
      <c r="AF74" s="207"/>
      <c r="AG74" s="216"/>
      <c r="AH74" s="216"/>
      <c r="AI74" s="189"/>
      <c r="AJ74" s="25">
        <f>IFERROR(INDEX('N03-S06'!$BC$18:$BC$199,2*(ROWS(AJ$70:AJ74)-1)+1),"")</f>
        <v>0</v>
      </c>
      <c r="AK74" s="25">
        <f>IFERROR(INDEX('N03-S06'!$BD$18:$BD$199,2*(ROWS(AK$70:AK74)-1)+1),"")</f>
        <v>0</v>
      </c>
      <c r="AL74" s="207"/>
      <c r="AM74" s="207"/>
      <c r="AN74" s="207"/>
      <c r="AO74">
        <f>IFERROR(INDEX('N03-S06'!$B$18:$B$199,2*(ROWS(AO$70:AO74)-1)+1),"")</f>
        <v>5</v>
      </c>
      <c r="AP74" s="189"/>
      <c r="AQ74">
        <f>IFERROR(INDEX('N03-S06'!$C$18:$C$199,2*(ROWS(AQ$70:AQ74)-1)+1),"")</f>
        <v>0</v>
      </c>
      <c r="AR74" s="189"/>
      <c r="AS74" s="48">
        <f>IFERROR(INDEX('N03-S06'!$AA$18:$AA$199,2*(ROWS(AS$70:AS74)-1)+1),"")</f>
        <v>0</v>
      </c>
      <c r="AT74" s="204"/>
      <c r="AU74" s="204"/>
      <c r="AV74">
        <f>IFERROR(INDEX('N03-S06'!$AZ$38:$AZ$199,2*(ROWS(AV$70:AV74)-1)+1),"")</f>
        <v>0</v>
      </c>
      <c r="AW74" s="189"/>
      <c r="AX74" t="str">
        <f>IFERROR(INDEX(STDWATER_N[Reporting Methodology],MATCH(C74,STDWATER_N[Measure Number],0)),"")</f>
        <v/>
      </c>
      <c r="AY74" s="170"/>
      <c r="AZ74" s="170"/>
      <c r="BA74" s="170"/>
      <c r="BB74" s="170"/>
      <c r="BC74" s="170"/>
      <c r="BD74" s="170"/>
      <c r="BE74" s="170"/>
      <c r="BF74" s="170"/>
      <c r="BG74" s="170"/>
      <c r="BH74" s="170"/>
      <c r="BI74" s="170"/>
      <c r="BJ74" s="170"/>
      <c r="BK74" s="170"/>
    </row>
    <row r="75" spans="1:63">
      <c r="A75" s="14">
        <f t="shared" si="10"/>
        <v>0</v>
      </c>
      <c r="B75" t="str">
        <f t="shared" si="11"/>
        <v/>
      </c>
      <c r="C75" t="str">
        <f>IFERROR(IF(V75&gt;0,INDEX('N03-S06'!$BI$18:$BI$199,2*(ROWS(C$70:C75)-1)+1),""),"")</f>
        <v/>
      </c>
      <c r="D75" t="s">
        <v>50</v>
      </c>
      <c r="E75" t="s">
        <v>38</v>
      </c>
      <c r="F75" t="s">
        <v>849</v>
      </c>
      <c r="G75" t="str">
        <f>IFERROR(INDEX('N03-S06'!$BE$18:$BE$199,2*(ROWS(G$70:G75)-1)+1),"")</f>
        <v/>
      </c>
      <c r="H75" s="207"/>
      <c r="I75" s="48">
        <f>IFERROR(INDEX('N03-S06'!$AE$18:$AE$199,2*(ROWS(I$70:I75)-1)+1),"")</f>
        <v>0</v>
      </c>
      <c r="J75" s="560">
        <f>IFERROR(ROUND(INDEX('N03-S06'!$AI$18:$AI$199,2*(ROWS(J$70:J75)-1)+1),2),"")</f>
        <v>0</v>
      </c>
      <c r="K75" s="560">
        <f>IFERROR(ROUND(INDEX('N03-S06'!$AK$18:$AK$199,2*(ROWS(K$70:K75)-1)+1),2),"")</f>
        <v>0</v>
      </c>
      <c r="L75" s="13">
        <f>IFERROR(ROUND(INDEX('N03-S06'!$AY$38:$AY$199,2*(ROWS(L$70:L75)-1)+1),2),"")</f>
        <v>0</v>
      </c>
      <c r="N75" s="13" t="str">
        <f>IFERROR(ROUND(INDEX('N03-S06'!$BO$18:$BO$199,2*(ROWS(N$70:N75)-1)+1),2),"")</f>
        <v/>
      </c>
      <c r="O75" s="207"/>
      <c r="P75" s="10">
        <f>IFERROR(ROUND(INDEX('N03-S06'!$U$18:$U$199,2*(ROWS(P$70:P75)-1)+1),3),"")</f>
        <v>0</v>
      </c>
      <c r="Q75" s="10">
        <f>IFERROR(ROUND(INDEX('N03-S06'!$U$18:$U$199,2*(ROWS(Q$70:Q75)-1)+1),3),"")</f>
        <v>0</v>
      </c>
      <c r="R75" s="25">
        <f>IFERROR(INDEX('N03-S06'!$BA$38:$BA$199,2*(ROWS(R$70:R75)-1)+1),"")</f>
        <v>0</v>
      </c>
      <c r="S75" s="25">
        <f>IFERROR(INDEX('N03-S06'!$BF$18:$BF$199,2*(ROWS(S$70:S75)-1)+1),"")</f>
        <v>0</v>
      </c>
      <c r="T75" s="31">
        <f>IFERROR(INDEX('N03-S06'!$BB$38:$BB$199,2*(ROWS(T$70:T75)-1)+1),"")</f>
        <v>0</v>
      </c>
      <c r="U75" s="31">
        <f>IFERROR(INDEX('N03-S06'!$BG$18:$BG$199,2*(ROWS(U$70:U75)-1)+1),"")</f>
        <v>0</v>
      </c>
      <c r="V75" s="560" t="str">
        <f>IFERROR(INDEX('N03-S06'!$AR$18:$AR$199,2*(ROWS(V$70:V75)-1)+1),"")</f>
        <v/>
      </c>
      <c r="W75" s="204"/>
      <c r="X75" s="204"/>
      <c r="Y75" s="204"/>
      <c r="Z75" s="189"/>
      <c r="AA75" s="189"/>
      <c r="AB75" s="189"/>
      <c r="AC75" s="215"/>
      <c r="AD75" s="215"/>
      <c r="AE75" s="207"/>
      <c r="AF75" s="207"/>
      <c r="AG75" s="216"/>
      <c r="AH75" s="216"/>
      <c r="AI75" s="189"/>
      <c r="AJ75" s="25">
        <f>IFERROR(INDEX('N03-S06'!$BC$18:$BC$199,2*(ROWS(AJ$70:AJ75)-1)+1),"")</f>
        <v>0</v>
      </c>
      <c r="AK75" s="25">
        <f>IFERROR(INDEX('N03-S06'!$BD$18:$BD$199,2*(ROWS(AK$70:AK75)-1)+1),"")</f>
        <v>0</v>
      </c>
      <c r="AL75" s="207"/>
      <c r="AM75" s="207"/>
      <c r="AN75" s="207"/>
      <c r="AO75">
        <f>IFERROR(INDEX('N03-S06'!$B$18:$B$199,2*(ROWS(AO$70:AO75)-1)+1),"")</f>
        <v>6</v>
      </c>
      <c r="AP75" s="189"/>
      <c r="AQ75">
        <f>IFERROR(INDEX('N03-S06'!$C$18:$C$199,2*(ROWS(AQ$70:AQ75)-1)+1),"")</f>
        <v>0</v>
      </c>
      <c r="AR75" s="189"/>
      <c r="AS75" s="48">
        <f>IFERROR(INDEX('N03-S06'!$AA$18:$AA$199,2*(ROWS(AS$70:AS75)-1)+1),"")</f>
        <v>0</v>
      </c>
      <c r="AT75" s="204"/>
      <c r="AU75" s="204"/>
      <c r="AV75">
        <f>IFERROR(INDEX('N03-S06'!$AZ$38:$AZ$199,2*(ROWS(AV$70:AV75)-1)+1),"")</f>
        <v>0</v>
      </c>
      <c r="AW75" s="189"/>
      <c r="AX75" t="str">
        <f>IFERROR(INDEX(STDWATER_N[Reporting Methodology],MATCH(C75,STDWATER_N[Measure Number],0)),"")</f>
        <v/>
      </c>
      <c r="AY75" s="170"/>
      <c r="AZ75" s="170"/>
      <c r="BA75" s="170"/>
      <c r="BB75" s="170"/>
      <c r="BC75" s="170"/>
      <c r="BD75" s="170"/>
      <c r="BE75" s="170"/>
      <c r="BF75" s="170"/>
      <c r="BG75" s="170"/>
      <c r="BH75" s="170"/>
      <c r="BI75" s="170"/>
      <c r="BJ75" s="170"/>
      <c r="BK75" s="170"/>
    </row>
    <row r="76" spans="1:63">
      <c r="A76" s="14">
        <f t="shared" si="10"/>
        <v>0</v>
      </c>
      <c r="B76" t="str">
        <f t="shared" si="11"/>
        <v/>
      </c>
      <c r="C76" t="str">
        <f>IFERROR(IF(V76&gt;0,INDEX('N03-S06'!$BI$18:$BI$199,2*(ROWS(C$70:C76)-1)+1),""),"")</f>
        <v/>
      </c>
      <c r="D76" t="s">
        <v>50</v>
      </c>
      <c r="E76" t="s">
        <v>38</v>
      </c>
      <c r="F76" t="s">
        <v>849</v>
      </c>
      <c r="G76" t="str">
        <f>IFERROR(INDEX('N03-S06'!$BE$18:$BE$199,2*(ROWS(G$70:G76)-1)+1),"")</f>
        <v/>
      </c>
      <c r="H76" s="207"/>
      <c r="I76" s="48">
        <f>IFERROR(INDEX('N03-S06'!$AE$18:$AE$199,2*(ROWS(I$70:I76)-1)+1),"")</f>
        <v>0</v>
      </c>
      <c r="J76" s="560">
        <f>IFERROR(ROUND(INDEX('N03-S06'!$AI$18:$AI$199,2*(ROWS(J$70:J76)-1)+1),2),"")</f>
        <v>0</v>
      </c>
      <c r="K76" s="560">
        <f>IFERROR(ROUND(INDEX('N03-S06'!$AK$18:$AK$199,2*(ROWS(K$70:K76)-1)+1),2),"")</f>
        <v>0</v>
      </c>
      <c r="L76" s="13">
        <f>IFERROR(ROUND(INDEX('N03-S06'!$AY$38:$AY$199,2*(ROWS(L$70:L76)-1)+1),2),"")</f>
        <v>0</v>
      </c>
      <c r="N76" s="13" t="str">
        <f>IFERROR(ROUND(INDEX('N03-S06'!$BO$18:$BO$199,2*(ROWS(N$70:N76)-1)+1),2),"")</f>
        <v/>
      </c>
      <c r="O76" s="207"/>
      <c r="P76" s="10">
        <f>IFERROR(ROUND(INDEX('N03-S06'!$U$18:$U$199,2*(ROWS(P$70:P76)-1)+1),3),"")</f>
        <v>0</v>
      </c>
      <c r="Q76" s="10">
        <f>IFERROR(ROUND(INDEX('N03-S06'!$U$18:$U$199,2*(ROWS(Q$70:Q76)-1)+1),3),"")</f>
        <v>0</v>
      </c>
      <c r="R76" s="25">
        <f>IFERROR(INDEX('N03-S06'!$BA$38:$BA$199,2*(ROWS(R$70:R76)-1)+1),"")</f>
        <v>0</v>
      </c>
      <c r="S76" s="25">
        <f>IFERROR(INDEX('N03-S06'!$BF$18:$BF$199,2*(ROWS(S$70:S76)-1)+1),"")</f>
        <v>0</v>
      </c>
      <c r="T76" s="31">
        <f>IFERROR(INDEX('N03-S06'!$BB$38:$BB$199,2*(ROWS(T$70:T76)-1)+1),"")</f>
        <v>0</v>
      </c>
      <c r="U76" s="31">
        <f>IFERROR(INDEX('N03-S06'!$BG$18:$BG$199,2*(ROWS(U$70:U76)-1)+1),"")</f>
        <v>0</v>
      </c>
      <c r="V76" s="560" t="str">
        <f>IFERROR(INDEX('N03-S06'!$AR$18:$AR$199,2*(ROWS(V$70:V76)-1)+1),"")</f>
        <v/>
      </c>
      <c r="W76" s="204"/>
      <c r="X76" s="204"/>
      <c r="Y76" s="204"/>
      <c r="Z76" s="189"/>
      <c r="AA76" s="189"/>
      <c r="AB76" s="189"/>
      <c r="AC76" s="215"/>
      <c r="AD76" s="215"/>
      <c r="AE76" s="207"/>
      <c r="AF76" s="207"/>
      <c r="AG76" s="216"/>
      <c r="AH76" s="216"/>
      <c r="AI76" s="189"/>
      <c r="AJ76" s="25">
        <f>IFERROR(INDEX('N03-S06'!$BC$18:$BC$199,2*(ROWS(AJ$70:AJ76)-1)+1),"")</f>
        <v>0</v>
      </c>
      <c r="AK76" s="25">
        <f>IFERROR(INDEX('N03-S06'!$BD$18:$BD$199,2*(ROWS(AK$70:AK76)-1)+1),"")</f>
        <v>0</v>
      </c>
      <c r="AL76" s="207"/>
      <c r="AM76" s="207"/>
      <c r="AN76" s="207"/>
      <c r="AO76">
        <f>IFERROR(INDEX('N03-S06'!$B$18:$B$199,2*(ROWS(AO$70:AO76)-1)+1),"")</f>
        <v>7</v>
      </c>
      <c r="AP76" s="189"/>
      <c r="AQ76">
        <f>IFERROR(INDEX('N03-S06'!$C$18:$C$199,2*(ROWS(AQ$70:AQ76)-1)+1),"")</f>
        <v>0</v>
      </c>
      <c r="AR76" s="189"/>
      <c r="AS76" s="48">
        <f>IFERROR(INDEX('N03-S06'!$AA$18:$AA$199,2*(ROWS(AS$70:AS76)-1)+1),"")</f>
        <v>0</v>
      </c>
      <c r="AT76" s="204"/>
      <c r="AU76" s="204"/>
      <c r="AV76">
        <f>IFERROR(INDEX('N03-S06'!$AZ$38:$AZ$199,2*(ROWS(AV$70:AV76)-1)+1),"")</f>
        <v>0</v>
      </c>
      <c r="AW76" s="189"/>
      <c r="AX76" t="str">
        <f>IFERROR(INDEX(STDWATER_N[Reporting Methodology],MATCH(C76,STDWATER_N[Measure Number],0)),"")</f>
        <v/>
      </c>
      <c r="AY76" s="170"/>
      <c r="AZ76" s="170"/>
      <c r="BA76" s="170"/>
      <c r="BB76" s="170"/>
      <c r="BC76" s="170"/>
      <c r="BD76" s="170"/>
      <c r="BE76" s="170"/>
      <c r="BF76" s="170"/>
      <c r="BG76" s="170"/>
      <c r="BH76" s="170"/>
      <c r="BI76" s="170"/>
      <c r="BJ76" s="170"/>
      <c r="BK76" s="170"/>
    </row>
    <row r="77" spans="1:63">
      <c r="A77" s="14">
        <f t="shared" si="10"/>
        <v>0</v>
      </c>
      <c r="B77" t="str">
        <f t="shared" si="11"/>
        <v/>
      </c>
      <c r="C77" t="str">
        <f>IFERROR(IF(V77&gt;0,INDEX('N03-S06'!$BI$18:$BI$199,2*(ROWS(C$70:C77)-1)+1),""),"")</f>
        <v/>
      </c>
      <c r="D77" t="s">
        <v>50</v>
      </c>
      <c r="E77" t="s">
        <v>38</v>
      </c>
      <c r="F77" t="s">
        <v>849</v>
      </c>
      <c r="G77" t="str">
        <f>IFERROR(INDEX('N03-S06'!$BE$18:$BE$199,2*(ROWS(G$70:G77)-1)+1),"")</f>
        <v/>
      </c>
      <c r="H77" s="207"/>
      <c r="I77" s="48">
        <f>IFERROR(INDEX('N03-S06'!$AE$18:$AE$199,2*(ROWS(I$70:I77)-1)+1),"")</f>
        <v>0</v>
      </c>
      <c r="J77" s="560">
        <f>IFERROR(ROUND(INDEX('N03-S06'!$AI$18:$AI$199,2*(ROWS(J$70:J77)-1)+1),2),"")</f>
        <v>0</v>
      </c>
      <c r="K77" s="560">
        <f>IFERROR(ROUND(INDEX('N03-S06'!$AK$18:$AK$199,2*(ROWS(K$70:K77)-1)+1),2),"")</f>
        <v>0</v>
      </c>
      <c r="L77" s="13">
        <f>IFERROR(ROUND(INDEX('N03-S06'!$AY$38:$AY$199,2*(ROWS(L$70:L77)-1)+1),2),"")</f>
        <v>0</v>
      </c>
      <c r="N77" s="13" t="str">
        <f>IFERROR(ROUND(INDEX('N03-S06'!$BO$18:$BO$199,2*(ROWS(N$70:N77)-1)+1),2),"")</f>
        <v/>
      </c>
      <c r="O77" s="207"/>
      <c r="P77" s="10">
        <f>IFERROR(ROUND(INDEX('N03-S06'!$U$18:$U$199,2*(ROWS(P$70:P77)-1)+1),3),"")</f>
        <v>0</v>
      </c>
      <c r="Q77" s="10">
        <f>IFERROR(ROUND(INDEX('N03-S06'!$U$18:$U$199,2*(ROWS(Q$70:Q77)-1)+1),3),"")</f>
        <v>0</v>
      </c>
      <c r="R77" s="25">
        <f>IFERROR(INDEX('N03-S06'!$BA$38:$BA$199,2*(ROWS(R$70:R77)-1)+1),"")</f>
        <v>0</v>
      </c>
      <c r="S77" s="25">
        <f>IFERROR(INDEX('N03-S06'!$BF$18:$BF$199,2*(ROWS(S$70:S77)-1)+1),"")</f>
        <v>0</v>
      </c>
      <c r="T77" s="31">
        <f>IFERROR(INDEX('N03-S06'!$BB$38:$BB$199,2*(ROWS(T$70:T77)-1)+1),"")</f>
        <v>0</v>
      </c>
      <c r="U77" s="31">
        <f>IFERROR(INDEX('N03-S06'!$BG$18:$BG$199,2*(ROWS(U$70:U77)-1)+1),"")</f>
        <v>0</v>
      </c>
      <c r="V77" s="560" t="str">
        <f>IFERROR(INDEX('N03-S06'!$AR$18:$AR$199,2*(ROWS(V$70:V77)-1)+1),"")</f>
        <v/>
      </c>
      <c r="W77" s="204"/>
      <c r="X77" s="204"/>
      <c r="Y77" s="204"/>
      <c r="Z77" s="189"/>
      <c r="AA77" s="189"/>
      <c r="AB77" s="189"/>
      <c r="AC77" s="215"/>
      <c r="AD77" s="215"/>
      <c r="AE77" s="207"/>
      <c r="AF77" s="207"/>
      <c r="AG77" s="216"/>
      <c r="AH77" s="216"/>
      <c r="AI77" s="189"/>
      <c r="AJ77" s="25">
        <f>IFERROR(INDEX('N03-S06'!$BC$18:$BC$199,2*(ROWS(AJ$70:AJ77)-1)+1),"")</f>
        <v>0</v>
      </c>
      <c r="AK77" s="25">
        <f>IFERROR(INDEX('N03-S06'!$BD$18:$BD$199,2*(ROWS(AK$70:AK77)-1)+1),"")</f>
        <v>0</v>
      </c>
      <c r="AL77" s="207"/>
      <c r="AM77" s="207"/>
      <c r="AN77" s="207"/>
      <c r="AO77">
        <f>IFERROR(INDEX('N03-S06'!$B$18:$B$199,2*(ROWS(AO$70:AO77)-1)+1),"")</f>
        <v>8</v>
      </c>
      <c r="AP77" s="189"/>
      <c r="AQ77">
        <f>IFERROR(INDEX('N03-S06'!$C$18:$C$199,2*(ROWS(AQ$70:AQ77)-1)+1),"")</f>
        <v>0</v>
      </c>
      <c r="AR77" s="189"/>
      <c r="AS77" s="48">
        <f>IFERROR(INDEX('N03-S06'!$AA$18:$AA$199,2*(ROWS(AS$70:AS77)-1)+1),"")</f>
        <v>0</v>
      </c>
      <c r="AT77" s="204"/>
      <c r="AU77" s="204"/>
      <c r="AV77">
        <f>IFERROR(INDEX('N03-S06'!$AZ$38:$AZ$199,2*(ROWS(AV$70:AV77)-1)+1),"")</f>
        <v>0</v>
      </c>
      <c r="AW77" s="189"/>
      <c r="AX77" t="str">
        <f>IFERROR(INDEX(STDWATER_N[Reporting Methodology],MATCH(C77,STDWATER_N[Measure Number],0)),"")</f>
        <v/>
      </c>
      <c r="AY77" s="170"/>
      <c r="AZ77" s="170"/>
      <c r="BA77" s="170"/>
      <c r="BB77" s="170"/>
      <c r="BC77" s="170"/>
      <c r="BD77" s="170"/>
      <c r="BE77" s="170"/>
      <c r="BF77" s="170"/>
      <c r="BG77" s="170"/>
      <c r="BH77" s="170"/>
      <c r="BI77" s="170"/>
      <c r="BJ77" s="170"/>
      <c r="BK77" s="170"/>
    </row>
    <row r="78" spans="1:63">
      <c r="A78" s="14">
        <f t="shared" si="10"/>
        <v>0</v>
      </c>
      <c r="B78" t="str">
        <f t="shared" si="11"/>
        <v/>
      </c>
      <c r="C78" t="str">
        <f>IFERROR(IF(V78&gt;0,INDEX('N03-S06'!$BI$18:$BI$199,2*(ROWS(C$70:C78)-1)+1),""),"")</f>
        <v/>
      </c>
      <c r="D78" t="s">
        <v>50</v>
      </c>
      <c r="E78" t="s">
        <v>38</v>
      </c>
      <c r="F78" t="s">
        <v>849</v>
      </c>
      <c r="G78" t="str">
        <f>IFERROR(INDEX('N03-S06'!$BE$18:$BE$199,2*(ROWS(G$70:G78)-1)+1),"")</f>
        <v/>
      </c>
      <c r="H78" s="207"/>
      <c r="I78" s="48">
        <f>IFERROR(INDEX('N03-S06'!$AE$18:$AE$199,2*(ROWS(I$70:I78)-1)+1),"")</f>
        <v>0</v>
      </c>
      <c r="J78" s="560">
        <f>IFERROR(ROUND(INDEX('N03-S06'!$AI$18:$AI$199,2*(ROWS(J$70:J78)-1)+1),2),"")</f>
        <v>0</v>
      </c>
      <c r="K78" s="560">
        <f>IFERROR(ROUND(INDEX('N03-S06'!$AK$18:$AK$199,2*(ROWS(K$70:K78)-1)+1),2),"")</f>
        <v>0</v>
      </c>
      <c r="L78" s="13">
        <f>IFERROR(ROUND(INDEX('N03-S06'!$AY$38:$AY$199,2*(ROWS(L$70:L78)-1)+1),2),"")</f>
        <v>0</v>
      </c>
      <c r="N78" s="13" t="str">
        <f>IFERROR(ROUND(INDEX('N03-S06'!$BO$18:$BO$199,2*(ROWS(N$70:N78)-1)+1),2),"")</f>
        <v/>
      </c>
      <c r="O78" s="207"/>
      <c r="P78" s="10">
        <f>IFERROR(ROUND(INDEX('N03-S06'!$U$18:$U$199,2*(ROWS(P$70:P78)-1)+1),3),"")</f>
        <v>0</v>
      </c>
      <c r="Q78" s="10">
        <f>IFERROR(ROUND(INDEX('N03-S06'!$U$18:$U$199,2*(ROWS(Q$70:Q78)-1)+1),3),"")</f>
        <v>0</v>
      </c>
      <c r="R78" s="25">
        <f>IFERROR(INDEX('N03-S06'!$BA$38:$BA$199,2*(ROWS(R$70:R78)-1)+1),"")</f>
        <v>0</v>
      </c>
      <c r="S78" s="25">
        <f>IFERROR(INDEX('N03-S06'!$BF$18:$BF$199,2*(ROWS(S$70:S78)-1)+1),"")</f>
        <v>0</v>
      </c>
      <c r="T78" s="31">
        <f>IFERROR(INDEX('N03-S06'!$BB$38:$BB$199,2*(ROWS(T$70:T78)-1)+1),"")</f>
        <v>0</v>
      </c>
      <c r="U78" s="31">
        <f>IFERROR(INDEX('N03-S06'!$BG$18:$BG$199,2*(ROWS(U$70:U78)-1)+1),"")</f>
        <v>0</v>
      </c>
      <c r="V78" s="560" t="str">
        <f>IFERROR(INDEX('N03-S06'!$AR$18:$AR$199,2*(ROWS(V$70:V78)-1)+1),"")</f>
        <v/>
      </c>
      <c r="W78" s="204"/>
      <c r="X78" s="204"/>
      <c r="Y78" s="204"/>
      <c r="Z78" s="189"/>
      <c r="AA78" s="189"/>
      <c r="AB78" s="189"/>
      <c r="AC78" s="215"/>
      <c r="AD78" s="215"/>
      <c r="AE78" s="207"/>
      <c r="AF78" s="207"/>
      <c r="AG78" s="216"/>
      <c r="AH78" s="216"/>
      <c r="AI78" s="189"/>
      <c r="AJ78" s="25">
        <f>IFERROR(INDEX('N03-S06'!$BC$18:$BC$199,2*(ROWS(AJ$70:AJ78)-1)+1),"")</f>
        <v>0</v>
      </c>
      <c r="AK78" s="25">
        <f>IFERROR(INDEX('N03-S06'!$BD$18:$BD$199,2*(ROWS(AK$70:AK78)-1)+1),"")</f>
        <v>0</v>
      </c>
      <c r="AL78" s="207"/>
      <c r="AM78" s="207"/>
      <c r="AN78" s="207"/>
      <c r="AO78">
        <f>IFERROR(INDEX('N03-S06'!$B$18:$B$199,2*(ROWS(AO$70:AO78)-1)+1),"")</f>
        <v>9</v>
      </c>
      <c r="AP78" s="189"/>
      <c r="AQ78">
        <f>IFERROR(INDEX('N03-S06'!$C$18:$C$199,2*(ROWS(AQ$70:AQ78)-1)+1),"")</f>
        <v>0</v>
      </c>
      <c r="AR78" s="189"/>
      <c r="AS78" s="48">
        <f>IFERROR(INDEX('N03-S06'!$AA$18:$AA$199,2*(ROWS(AS$70:AS78)-1)+1),"")</f>
        <v>0</v>
      </c>
      <c r="AT78" s="204"/>
      <c r="AU78" s="204"/>
      <c r="AV78">
        <f>IFERROR(INDEX('N03-S06'!$AZ$38:$AZ$199,2*(ROWS(AV$70:AV78)-1)+1),"")</f>
        <v>0</v>
      </c>
      <c r="AW78" s="189"/>
      <c r="AX78" t="str">
        <f>IFERROR(INDEX(STDWATER_N[Reporting Methodology],MATCH(C78,STDWATER_N[Measure Number],0)),"")</f>
        <v/>
      </c>
      <c r="AY78" s="170"/>
      <c r="AZ78" s="170"/>
      <c r="BA78" s="170"/>
      <c r="BB78" s="170"/>
      <c r="BC78" s="170"/>
      <c r="BD78" s="170"/>
      <c r="BE78" s="170"/>
      <c r="BF78" s="170"/>
      <c r="BG78" s="170"/>
      <c r="BH78" s="170"/>
      <c r="BI78" s="170"/>
      <c r="BJ78" s="170"/>
      <c r="BK78" s="170"/>
    </row>
    <row r="79" spans="1:63">
      <c r="A79" s="14">
        <f t="shared" si="10"/>
        <v>0</v>
      </c>
      <c r="B79" t="str">
        <f t="shared" si="11"/>
        <v/>
      </c>
      <c r="C79" t="str">
        <f>IFERROR(IF(V79&gt;0,INDEX('N03-S06'!$BI$18:$BI$199,2*(ROWS(C$70:C79)-1)+1),""),"")</f>
        <v/>
      </c>
      <c r="D79" t="s">
        <v>50</v>
      </c>
      <c r="E79" t="s">
        <v>38</v>
      </c>
      <c r="F79" t="s">
        <v>849</v>
      </c>
      <c r="G79" t="str">
        <f>IFERROR(INDEX('N03-S06'!$BE$18:$BE$199,2*(ROWS(G$70:G79)-1)+1),"")</f>
        <v/>
      </c>
      <c r="H79" s="207"/>
      <c r="I79" s="48">
        <f>IFERROR(INDEX('N03-S06'!$AE$18:$AE$199,2*(ROWS(I$70:I79)-1)+1),"")</f>
        <v>0</v>
      </c>
      <c r="J79" s="560">
        <f>IFERROR(ROUND(INDEX('N03-S06'!$AI$18:$AI$199,2*(ROWS(J$70:J79)-1)+1),2),"")</f>
        <v>0</v>
      </c>
      <c r="K79" s="560">
        <f>IFERROR(ROUND(INDEX('N03-S06'!$AK$18:$AK$199,2*(ROWS(K$70:K79)-1)+1),2),"")</f>
        <v>0</v>
      </c>
      <c r="L79" s="13">
        <f>IFERROR(ROUND(INDEX('N03-S06'!$AY$38:$AY$199,2*(ROWS(L$70:L79)-1)+1),2),"")</f>
        <v>0</v>
      </c>
      <c r="N79" s="13" t="str">
        <f>IFERROR(ROUND(INDEX('N03-S06'!$BO$18:$BO$199,2*(ROWS(N$70:N79)-1)+1),2),"")</f>
        <v/>
      </c>
      <c r="O79" s="207"/>
      <c r="P79" s="10">
        <f>IFERROR(ROUND(INDEX('N03-S06'!$U$18:$U$199,2*(ROWS(P$70:P79)-1)+1),3),"")</f>
        <v>0</v>
      </c>
      <c r="Q79" s="10">
        <f>IFERROR(ROUND(INDEX('N03-S06'!$U$18:$U$199,2*(ROWS(Q$70:Q79)-1)+1),3),"")</f>
        <v>0</v>
      </c>
      <c r="R79" s="25">
        <f>IFERROR(INDEX('N03-S06'!$BA$38:$BA$199,2*(ROWS(R$70:R79)-1)+1),"")</f>
        <v>0</v>
      </c>
      <c r="S79" s="25">
        <f>IFERROR(INDEX('N03-S06'!$BF$18:$BF$199,2*(ROWS(S$70:S79)-1)+1),"")</f>
        <v>0</v>
      </c>
      <c r="T79" s="31">
        <f>IFERROR(INDEX('N03-S06'!$BB$38:$BB$199,2*(ROWS(T$70:T79)-1)+1),"")</f>
        <v>0</v>
      </c>
      <c r="U79" s="31">
        <f>IFERROR(INDEX('N03-S06'!$BG$18:$BG$199,2*(ROWS(U$70:U79)-1)+1),"")</f>
        <v>0</v>
      </c>
      <c r="V79" s="560" t="str">
        <f>IFERROR(INDEX('N03-S06'!$AR$18:$AR$199,2*(ROWS(V$70:V79)-1)+1),"")</f>
        <v/>
      </c>
      <c r="W79" s="204"/>
      <c r="X79" s="204"/>
      <c r="Y79" s="204"/>
      <c r="Z79" s="189"/>
      <c r="AA79" s="189"/>
      <c r="AB79" s="189"/>
      <c r="AC79" s="215"/>
      <c r="AD79" s="215"/>
      <c r="AE79" s="207"/>
      <c r="AF79" s="207"/>
      <c r="AG79" s="216"/>
      <c r="AH79" s="216"/>
      <c r="AI79" s="189"/>
      <c r="AJ79" s="25">
        <f>IFERROR(INDEX('N03-S06'!$BC$18:$BC$199,2*(ROWS(AJ$70:AJ79)-1)+1),"")</f>
        <v>0</v>
      </c>
      <c r="AK79" s="25">
        <f>IFERROR(INDEX('N03-S06'!$BD$18:$BD$199,2*(ROWS(AK$70:AK79)-1)+1),"")</f>
        <v>0</v>
      </c>
      <c r="AL79" s="207"/>
      <c r="AM79" s="207"/>
      <c r="AN79" s="207"/>
      <c r="AO79">
        <f>IFERROR(INDEX('N03-S06'!$B$18:$B$199,2*(ROWS(AO$70:AO79)-1)+1),"")</f>
        <v>10</v>
      </c>
      <c r="AP79" s="189"/>
      <c r="AQ79">
        <f>IFERROR(INDEX('N03-S06'!$C$18:$C$199,2*(ROWS(AQ$70:AQ79)-1)+1),"")</f>
        <v>0</v>
      </c>
      <c r="AR79" s="189"/>
      <c r="AS79" s="48">
        <f>IFERROR(INDEX('N03-S06'!$AA$18:$AA$199,2*(ROWS(AS$70:AS79)-1)+1),"")</f>
        <v>0</v>
      </c>
      <c r="AT79" s="204"/>
      <c r="AU79" s="204"/>
      <c r="AV79">
        <f>IFERROR(INDEX('N03-S06'!$AZ$38:$AZ$199,2*(ROWS(AV$70:AV79)-1)+1),"")</f>
        <v>0</v>
      </c>
      <c r="AW79" s="189"/>
      <c r="AX79" t="str">
        <f>IFERROR(INDEX(STDWATER_N[Reporting Methodology],MATCH(C79,STDWATER_N[Measure Number],0)),"")</f>
        <v/>
      </c>
      <c r="AY79" s="170"/>
      <c r="AZ79" s="170"/>
      <c r="BA79" s="170"/>
      <c r="BB79" s="170"/>
      <c r="BC79" s="170"/>
      <c r="BD79" s="170"/>
      <c r="BE79" s="170"/>
      <c r="BF79" s="170"/>
      <c r="BG79" s="170"/>
      <c r="BH79" s="170"/>
      <c r="BI79" s="170"/>
      <c r="BJ79" s="170"/>
      <c r="BK79" s="170"/>
    </row>
    <row r="80" spans="1:63">
      <c r="A80" s="14">
        <f t="shared" si="10"/>
        <v>0</v>
      </c>
      <c r="B80" t="str">
        <f t="shared" si="11"/>
        <v/>
      </c>
      <c r="C80" t="str">
        <f>IFERROR(IF(V80&gt;0,INDEX('N03-S06'!$BI$18:$BI$199,2*(ROWS(C$70:C80)-1)+1),""),"")</f>
        <v/>
      </c>
      <c r="D80" t="s">
        <v>50</v>
      </c>
      <c r="E80" t="s">
        <v>38</v>
      </c>
      <c r="F80" t="s">
        <v>849</v>
      </c>
      <c r="G80">
        <f>IFERROR(INDEX('N03-S06'!$BE$18:$BE$199,2*(ROWS(G$70:G80)-1)+1),"")</f>
        <v>0</v>
      </c>
      <c r="H80" s="207"/>
      <c r="I80" s="48">
        <f>IFERROR(INDEX('N03-S06'!$AE$18:$AE$199,2*(ROWS(I$70:I80)-1)+1),"")</f>
        <v>0</v>
      </c>
      <c r="J80" s="560">
        <f>IFERROR(ROUND(INDEX('N03-S06'!$AI$18:$AI$199,2*(ROWS(J$70:J80)-1)+1),2),"")</f>
        <v>0</v>
      </c>
      <c r="K80" s="560">
        <f>IFERROR(ROUND(INDEX('N03-S06'!$AK$18:$AK$199,2*(ROWS(K$70:K80)-1)+1),2),"")</f>
        <v>0</v>
      </c>
      <c r="L80" s="13">
        <f>IFERROR(ROUND(INDEX('N03-S06'!$AY$38:$AY$199,2*(ROWS(L$70:L80)-1)+1),2),"")</f>
        <v>0</v>
      </c>
      <c r="N80" s="13">
        <f>IFERROR(ROUND(INDEX('N03-S06'!$BO$18:$BO$199,2*(ROWS(N$70:N80)-1)+1),2),"")</f>
        <v>0</v>
      </c>
      <c r="O80" s="207"/>
      <c r="P80" s="10">
        <f>IFERROR(ROUND(INDEX('N03-S06'!$U$18:$U$199,2*(ROWS(P$70:P80)-1)+1),3),"")</f>
        <v>0</v>
      </c>
      <c r="Q80" s="10">
        <f>IFERROR(ROUND(INDEX('N03-S06'!$U$18:$U$199,2*(ROWS(Q$70:Q80)-1)+1),3),"")</f>
        <v>0</v>
      </c>
      <c r="R80" s="25">
        <f>IFERROR(INDEX('N03-S06'!$BA$38:$BA$199,2*(ROWS(R$70:R80)-1)+1),"")</f>
        <v>0</v>
      </c>
      <c r="S80" s="25">
        <f>IFERROR(INDEX('N03-S06'!$BF$18:$BF$199,2*(ROWS(S$70:S80)-1)+1),"")</f>
        <v>0</v>
      </c>
      <c r="T80" s="31">
        <f>IFERROR(INDEX('N03-S06'!$BB$38:$BB$199,2*(ROWS(T$70:T80)-1)+1),"")</f>
        <v>0</v>
      </c>
      <c r="U80" s="31">
        <f>IFERROR(INDEX('N03-S06'!$BG$18:$BG$199,2*(ROWS(U$70:U80)-1)+1),"")</f>
        <v>0</v>
      </c>
      <c r="V80" s="560">
        <f>IFERROR(INDEX('N03-S06'!$AR$18:$AR$199,2*(ROWS(V$70:V80)-1)+1),"")</f>
        <v>0</v>
      </c>
      <c r="W80" s="204"/>
      <c r="X80" s="204"/>
      <c r="Y80" s="204"/>
      <c r="Z80" s="189"/>
      <c r="AA80" s="189"/>
      <c r="AB80" s="189"/>
      <c r="AC80" s="215"/>
      <c r="AD80" s="215"/>
      <c r="AE80" s="207"/>
      <c r="AF80" s="207"/>
      <c r="AG80" s="216"/>
      <c r="AH80" s="216"/>
      <c r="AI80" s="189"/>
      <c r="AJ80" s="25">
        <f>IFERROR(INDEX('N03-S06'!$BC$18:$BC$199,2*(ROWS(AJ$70:AJ80)-1)+1),"")</f>
        <v>0</v>
      </c>
      <c r="AK80" s="25">
        <f>IFERROR(INDEX('N03-S06'!$BD$18:$BD$199,2*(ROWS(AK$70:AK80)-1)+1),"")</f>
        <v>0</v>
      </c>
      <c r="AL80" s="207"/>
      <c r="AM80" s="207"/>
      <c r="AN80" s="207"/>
      <c r="AO80">
        <f>IFERROR(INDEX('N03-S06'!$B$18:$B$199,2*(ROWS(AO$70:AO80)-1)+1),"")</f>
        <v>0</v>
      </c>
      <c r="AP80" s="189"/>
      <c r="AQ80">
        <f>IFERROR(INDEX('N03-S06'!$C$18:$C$199,2*(ROWS(AQ$70:AQ80)-1)+1),"")</f>
        <v>0</v>
      </c>
      <c r="AR80" s="189"/>
      <c r="AS80" s="48">
        <f>IFERROR(INDEX('N03-S06'!$AA$18:$AA$199,2*(ROWS(AS$70:AS80)-1)+1),"")</f>
        <v>0</v>
      </c>
      <c r="AT80" s="204"/>
      <c r="AU80" s="204"/>
      <c r="AV80">
        <f>IFERROR(INDEX('N03-S06'!$AZ$38:$AZ$199,2*(ROWS(AV$70:AV80)-1)+1),"")</f>
        <v>0</v>
      </c>
      <c r="AW80" s="189"/>
      <c r="AX80" t="str">
        <f>IFERROR(INDEX(STDWATER_N[Reporting Methodology],MATCH(C80,STDWATER_N[Measure Number],0)),"")</f>
        <v/>
      </c>
      <c r="AY80" s="170"/>
      <c r="AZ80" s="170"/>
      <c r="BA80" s="170"/>
      <c r="BB80" s="170"/>
      <c r="BC80" s="170"/>
      <c r="BD80" s="170"/>
      <c r="BE80" s="170"/>
      <c r="BF80" s="170"/>
      <c r="BG80" s="170"/>
      <c r="BH80" s="170"/>
      <c r="BI80" s="170"/>
      <c r="BJ80" s="170"/>
      <c r="BK80" s="170"/>
    </row>
    <row r="81" spans="1:63">
      <c r="A81" s="14">
        <f t="shared" si="10"/>
        <v>0</v>
      </c>
      <c r="B81" t="str">
        <f t="shared" si="11"/>
        <v/>
      </c>
      <c r="C81" t="str">
        <f>IFERROR(IF(V81&gt;0,INDEX('N03-S06'!$BI$18:$BI$199,2*(ROWS(C$70:C81)-1)+1),""),"")</f>
        <v/>
      </c>
      <c r="D81" t="s">
        <v>50</v>
      </c>
      <c r="E81" t="s">
        <v>38</v>
      </c>
      <c r="F81" t="s">
        <v>849</v>
      </c>
      <c r="G81">
        <f>IFERROR(INDEX('N03-S06'!$BE$18:$BE$199,2*(ROWS(G$70:G81)-1)+1),"")</f>
        <v>0</v>
      </c>
      <c r="H81" s="207"/>
      <c r="I81" s="48">
        <f>IFERROR(INDEX('N03-S06'!$AE$18:$AE$199,2*(ROWS(I$70:I81)-1)+1),"")</f>
        <v>0</v>
      </c>
      <c r="J81" s="560">
        <f>IFERROR(ROUND(INDEX('N03-S06'!$AI$18:$AI$199,2*(ROWS(J$70:J81)-1)+1),2),"")</f>
        <v>0</v>
      </c>
      <c r="K81" s="560">
        <f>IFERROR(ROUND(INDEX('N03-S06'!$AK$18:$AK$199,2*(ROWS(K$70:K81)-1)+1),2),"")</f>
        <v>0</v>
      </c>
      <c r="L81" s="13">
        <f>IFERROR(ROUND(INDEX('N03-S06'!$AY$38:$AY$199,2*(ROWS(L$70:L81)-1)+1),2),"")</f>
        <v>0</v>
      </c>
      <c r="N81" s="13">
        <f>IFERROR(ROUND(INDEX('N03-S06'!$BO$18:$BO$199,2*(ROWS(N$70:N81)-1)+1),2),"")</f>
        <v>0</v>
      </c>
      <c r="O81" s="207"/>
      <c r="P81" s="10">
        <f>IFERROR(ROUND(INDEX('N03-S06'!$U$18:$U$199,2*(ROWS(P$70:P81)-1)+1),3),"")</f>
        <v>0</v>
      </c>
      <c r="Q81" s="10">
        <f>IFERROR(ROUND(INDEX('N03-S06'!$U$18:$U$199,2*(ROWS(Q$70:Q81)-1)+1),3),"")</f>
        <v>0</v>
      </c>
      <c r="R81" s="25">
        <f>IFERROR(INDEX('N03-S06'!$BA$38:$BA$199,2*(ROWS(R$70:R81)-1)+1),"")</f>
        <v>0</v>
      </c>
      <c r="S81" s="25">
        <f>IFERROR(INDEX('N03-S06'!$BF$18:$BF$199,2*(ROWS(S$70:S81)-1)+1),"")</f>
        <v>0</v>
      </c>
      <c r="T81" s="31">
        <f>IFERROR(INDEX('N03-S06'!$BB$38:$BB$199,2*(ROWS(T$70:T81)-1)+1),"")</f>
        <v>0</v>
      </c>
      <c r="U81" s="31">
        <f>IFERROR(INDEX('N03-S06'!$BG$18:$BG$199,2*(ROWS(U$70:U81)-1)+1),"")</f>
        <v>0</v>
      </c>
      <c r="V81" s="560">
        <f>IFERROR(INDEX('N03-S06'!$AR$18:$AR$199,2*(ROWS(V$70:V81)-1)+1),"")</f>
        <v>0</v>
      </c>
      <c r="W81" s="204"/>
      <c r="X81" s="204"/>
      <c r="Y81" s="204"/>
      <c r="Z81" s="189"/>
      <c r="AA81" s="189"/>
      <c r="AB81" s="189"/>
      <c r="AC81" s="215"/>
      <c r="AD81" s="215"/>
      <c r="AE81" s="207"/>
      <c r="AF81" s="207"/>
      <c r="AG81" s="216"/>
      <c r="AH81" s="216"/>
      <c r="AI81" s="189"/>
      <c r="AJ81" s="25">
        <f>IFERROR(INDEX('N03-S06'!$BC$18:$BC$199,2*(ROWS(AJ$70:AJ81)-1)+1),"")</f>
        <v>0</v>
      </c>
      <c r="AK81" s="25">
        <f>IFERROR(INDEX('N03-S06'!$BD$18:$BD$199,2*(ROWS(AK$70:AK81)-1)+1),"")</f>
        <v>0</v>
      </c>
      <c r="AL81" s="207"/>
      <c r="AM81" s="207"/>
      <c r="AN81" s="207"/>
      <c r="AO81">
        <f>IFERROR(INDEX('N03-S06'!$B$18:$B$199,2*(ROWS(AO$70:AO81)-1)+1),"")</f>
        <v>0</v>
      </c>
      <c r="AP81" s="189"/>
      <c r="AQ81">
        <f>IFERROR(INDEX('N03-S06'!$C$18:$C$199,2*(ROWS(AQ$70:AQ81)-1)+1),"")</f>
        <v>0</v>
      </c>
      <c r="AR81" s="189"/>
      <c r="AS81" s="48">
        <f>IFERROR(INDEX('N03-S06'!$AA$18:$AA$199,2*(ROWS(AS$70:AS81)-1)+1),"")</f>
        <v>0</v>
      </c>
      <c r="AT81" s="204"/>
      <c r="AU81" s="204"/>
      <c r="AV81">
        <f>IFERROR(INDEX('N03-S06'!$AZ$38:$AZ$199,2*(ROWS(AV$70:AV81)-1)+1),"")</f>
        <v>0</v>
      </c>
      <c r="AW81" s="189"/>
      <c r="AX81" t="str">
        <f>IFERROR(INDEX(STDWATER_N[Reporting Methodology],MATCH(C81,STDWATER_N[Measure Number],0)),"")</f>
        <v/>
      </c>
      <c r="AY81" s="170"/>
      <c r="AZ81" s="170"/>
      <c r="BA81" s="170"/>
      <c r="BB81" s="170"/>
      <c r="BC81" s="170"/>
      <c r="BD81" s="170"/>
      <c r="BE81" s="170"/>
      <c r="BF81" s="170"/>
      <c r="BG81" s="170"/>
      <c r="BH81" s="170"/>
      <c r="BI81" s="170"/>
      <c r="BJ81" s="170"/>
      <c r="BK81" s="170"/>
    </row>
    <row r="82" spans="1:63">
      <c r="A82" s="14">
        <f t="shared" si="10"/>
        <v>0</v>
      </c>
      <c r="B82" t="str">
        <f t="shared" si="11"/>
        <v/>
      </c>
      <c r="C82" t="str">
        <f>IFERROR(IF(V82&gt;0,INDEX('N03-S06'!$BI$18:$BI$199,2*(ROWS(C$70:C82)-1)+1),""),"")</f>
        <v/>
      </c>
      <c r="D82" t="s">
        <v>50</v>
      </c>
      <c r="E82" t="s">
        <v>38</v>
      </c>
      <c r="F82" t="s">
        <v>849</v>
      </c>
      <c r="G82">
        <f>IFERROR(INDEX('N03-S06'!$BE$18:$BE$199,2*(ROWS(G$70:G82)-1)+1),"")</f>
        <v>0</v>
      </c>
      <c r="H82" s="207"/>
      <c r="I82" s="48">
        <f>IFERROR(INDEX('N03-S06'!$AE$18:$AE$199,2*(ROWS(I$70:I82)-1)+1),"")</f>
        <v>0</v>
      </c>
      <c r="J82" s="560">
        <f>IFERROR(ROUND(INDEX('N03-S06'!$AI$18:$AI$199,2*(ROWS(J$70:J82)-1)+1),2),"")</f>
        <v>0</v>
      </c>
      <c r="K82" s="560">
        <f>IFERROR(ROUND(INDEX('N03-S06'!$AK$18:$AK$199,2*(ROWS(K$70:K82)-1)+1),2),"")</f>
        <v>0</v>
      </c>
      <c r="L82" s="13">
        <f>IFERROR(ROUND(INDEX('N03-S06'!$AY$38:$AY$199,2*(ROWS(L$70:L82)-1)+1),2),"")</f>
        <v>0</v>
      </c>
      <c r="N82" s="13">
        <f>IFERROR(ROUND(INDEX('N03-S06'!$BO$18:$BO$199,2*(ROWS(N$70:N82)-1)+1),2),"")</f>
        <v>0</v>
      </c>
      <c r="O82" s="207"/>
      <c r="P82" s="10">
        <f>IFERROR(ROUND(INDEX('N03-S06'!$U$18:$U$199,2*(ROWS(P$70:P82)-1)+1),3),"")</f>
        <v>0</v>
      </c>
      <c r="Q82" s="10">
        <f>IFERROR(ROUND(INDEX('N03-S06'!$U$18:$U$199,2*(ROWS(Q$70:Q82)-1)+1),3),"")</f>
        <v>0</v>
      </c>
      <c r="R82" s="25">
        <f>IFERROR(INDEX('N03-S06'!$BA$38:$BA$199,2*(ROWS(R$70:R82)-1)+1),"")</f>
        <v>0</v>
      </c>
      <c r="S82" s="25">
        <f>IFERROR(INDEX('N03-S06'!$BF$18:$BF$199,2*(ROWS(S$70:S82)-1)+1),"")</f>
        <v>0</v>
      </c>
      <c r="T82" s="31">
        <f>IFERROR(INDEX('N03-S06'!$BB$38:$BB$199,2*(ROWS(T$70:T82)-1)+1),"")</f>
        <v>0</v>
      </c>
      <c r="U82" s="31">
        <f>IFERROR(INDEX('N03-S06'!$BG$18:$BG$199,2*(ROWS(U$70:U82)-1)+1),"")</f>
        <v>0</v>
      </c>
      <c r="V82" s="560">
        <f>IFERROR(INDEX('N03-S06'!$AR$18:$AR$199,2*(ROWS(V$70:V82)-1)+1),"")</f>
        <v>0</v>
      </c>
      <c r="W82" s="204"/>
      <c r="X82" s="204"/>
      <c r="Y82" s="204"/>
      <c r="Z82" s="189"/>
      <c r="AA82" s="189"/>
      <c r="AB82" s="189"/>
      <c r="AC82" s="215"/>
      <c r="AD82" s="215"/>
      <c r="AE82" s="207"/>
      <c r="AF82" s="207"/>
      <c r="AG82" s="216"/>
      <c r="AH82" s="216"/>
      <c r="AI82" s="189"/>
      <c r="AJ82" s="25">
        <f>IFERROR(INDEX('N03-S06'!$BC$18:$BC$199,2*(ROWS(AJ$70:AJ82)-1)+1),"")</f>
        <v>0</v>
      </c>
      <c r="AK82" s="25">
        <f>IFERROR(INDEX('N03-S06'!$BD$18:$BD$199,2*(ROWS(AK$70:AK82)-1)+1),"")</f>
        <v>0</v>
      </c>
      <c r="AL82" s="207"/>
      <c r="AM82" s="207"/>
      <c r="AN82" s="207"/>
      <c r="AO82">
        <f>IFERROR(INDEX('N03-S06'!$B$18:$B$199,2*(ROWS(AO$70:AO82)-1)+1),"")</f>
        <v>0</v>
      </c>
      <c r="AP82" s="189"/>
      <c r="AQ82">
        <f>IFERROR(INDEX('N03-S06'!$C$18:$C$199,2*(ROWS(AQ$70:AQ82)-1)+1),"")</f>
        <v>0</v>
      </c>
      <c r="AR82" s="189"/>
      <c r="AS82" s="48">
        <f>IFERROR(INDEX('N03-S06'!$AA$18:$AA$199,2*(ROWS(AS$70:AS82)-1)+1),"")</f>
        <v>0</v>
      </c>
      <c r="AT82" s="204"/>
      <c r="AU82" s="204"/>
      <c r="AV82">
        <f>IFERROR(INDEX('N03-S06'!$AZ$38:$AZ$199,2*(ROWS(AV$70:AV82)-1)+1),"")</f>
        <v>0</v>
      </c>
      <c r="AW82" s="189"/>
      <c r="AX82" t="str">
        <f>IFERROR(INDEX(STDWATER_N[Reporting Methodology],MATCH(C82,STDWATER_N[Measure Number],0)),"")</f>
        <v/>
      </c>
      <c r="AY82" s="170"/>
      <c r="AZ82" s="170"/>
      <c r="BA82" s="170"/>
      <c r="BB82" s="170"/>
      <c r="BC82" s="170"/>
      <c r="BD82" s="170"/>
      <c r="BE82" s="170"/>
      <c r="BF82" s="170"/>
      <c r="BG82" s="170"/>
      <c r="BH82" s="170"/>
      <c r="BI82" s="170"/>
      <c r="BJ82" s="170"/>
      <c r="BK82" s="170"/>
    </row>
    <row r="83" spans="1:63">
      <c r="A83" s="14">
        <f t="shared" si="10"/>
        <v>0</v>
      </c>
      <c r="B83" t="str">
        <f t="shared" si="11"/>
        <v/>
      </c>
      <c r="C83" t="str">
        <f>IFERROR(IF(V83&gt;0,INDEX('N03-S06'!$BI$18:$BI$199,2*(ROWS(C$70:C83)-1)+1),""),"")</f>
        <v/>
      </c>
      <c r="D83" t="s">
        <v>50</v>
      </c>
      <c r="E83" t="s">
        <v>38</v>
      </c>
      <c r="F83" t="s">
        <v>849</v>
      </c>
      <c r="G83">
        <f>IFERROR(INDEX('N03-S06'!$BE$18:$BE$199,2*(ROWS(G$70:G83)-1)+1),"")</f>
        <v>0</v>
      </c>
      <c r="H83" s="207"/>
      <c r="I83" s="48">
        <f>IFERROR(INDEX('N03-S06'!$AE$18:$AE$199,2*(ROWS(I$70:I83)-1)+1),"")</f>
        <v>0</v>
      </c>
      <c r="J83" s="560">
        <f>IFERROR(ROUND(INDEX('N03-S06'!$AI$18:$AI$199,2*(ROWS(J$70:J83)-1)+1),2),"")</f>
        <v>0</v>
      </c>
      <c r="K83" s="560">
        <f>IFERROR(ROUND(INDEX('N03-S06'!$AK$18:$AK$199,2*(ROWS(K$70:K83)-1)+1),2),"")</f>
        <v>0</v>
      </c>
      <c r="L83" s="13">
        <f>IFERROR(ROUND(INDEX('N03-S06'!$AY$38:$AY$199,2*(ROWS(L$70:L83)-1)+1),2),"")</f>
        <v>0</v>
      </c>
      <c r="N83" s="13">
        <f>IFERROR(ROUND(INDEX('N03-S06'!$BO$18:$BO$199,2*(ROWS(N$70:N83)-1)+1),2),"")</f>
        <v>0</v>
      </c>
      <c r="O83" s="207"/>
      <c r="P83" s="10">
        <f>IFERROR(ROUND(INDEX('N03-S06'!$U$18:$U$199,2*(ROWS(P$70:P83)-1)+1),3),"")</f>
        <v>0</v>
      </c>
      <c r="Q83" s="10">
        <f>IFERROR(ROUND(INDEX('N03-S06'!$U$18:$U$199,2*(ROWS(Q$70:Q83)-1)+1),3),"")</f>
        <v>0</v>
      </c>
      <c r="R83" s="25">
        <f>IFERROR(INDEX('N03-S06'!$BA$38:$BA$199,2*(ROWS(R$70:R83)-1)+1),"")</f>
        <v>0</v>
      </c>
      <c r="S83" s="25">
        <f>IFERROR(INDEX('N03-S06'!$BF$18:$BF$199,2*(ROWS(S$70:S83)-1)+1),"")</f>
        <v>0</v>
      </c>
      <c r="T83" s="31">
        <f>IFERROR(INDEX('N03-S06'!$BB$38:$BB$199,2*(ROWS(T$70:T83)-1)+1),"")</f>
        <v>0</v>
      </c>
      <c r="U83" s="31">
        <f>IFERROR(INDEX('N03-S06'!$BG$18:$BG$199,2*(ROWS(U$70:U83)-1)+1),"")</f>
        <v>0</v>
      </c>
      <c r="V83" s="560">
        <f>IFERROR(INDEX('N03-S06'!$AR$18:$AR$199,2*(ROWS(V$70:V83)-1)+1),"")</f>
        <v>0</v>
      </c>
      <c r="W83" s="204"/>
      <c r="X83" s="204"/>
      <c r="Y83" s="204"/>
      <c r="Z83" s="189"/>
      <c r="AA83" s="189"/>
      <c r="AB83" s="189"/>
      <c r="AC83" s="215"/>
      <c r="AD83" s="215"/>
      <c r="AE83" s="207"/>
      <c r="AF83" s="207"/>
      <c r="AG83" s="216"/>
      <c r="AH83" s="216"/>
      <c r="AI83" s="189"/>
      <c r="AJ83" s="25">
        <f>IFERROR(INDEX('N03-S06'!$BC$18:$BC$199,2*(ROWS(AJ$70:AJ83)-1)+1),"")</f>
        <v>0</v>
      </c>
      <c r="AK83" s="25">
        <f>IFERROR(INDEX('N03-S06'!$BD$18:$BD$199,2*(ROWS(AK$70:AK83)-1)+1),"")</f>
        <v>0</v>
      </c>
      <c r="AL83" s="207"/>
      <c r="AM83" s="207"/>
      <c r="AN83" s="207"/>
      <c r="AO83">
        <f>IFERROR(INDEX('N03-S06'!$B$18:$B$199,2*(ROWS(AO$70:AO83)-1)+1),"")</f>
        <v>0</v>
      </c>
      <c r="AP83" s="189"/>
      <c r="AQ83">
        <f>IFERROR(INDEX('N03-S06'!$C$18:$C$199,2*(ROWS(AQ$70:AQ83)-1)+1),"")</f>
        <v>0</v>
      </c>
      <c r="AR83" s="189"/>
      <c r="AS83" s="48">
        <f>IFERROR(INDEX('N03-S06'!$AA$18:$AA$199,2*(ROWS(AS$70:AS83)-1)+1),"")</f>
        <v>0</v>
      </c>
      <c r="AT83" s="204"/>
      <c r="AU83" s="204"/>
      <c r="AV83">
        <f>IFERROR(INDEX('N03-S06'!$AZ$38:$AZ$199,2*(ROWS(AV$70:AV83)-1)+1),"")</f>
        <v>0</v>
      </c>
      <c r="AW83" s="189"/>
      <c r="AX83" t="str">
        <f>IFERROR(INDEX(STDWATER_N[Reporting Methodology],MATCH(C83,STDWATER_N[Measure Number],0)),"")</f>
        <v/>
      </c>
      <c r="AY83" s="170"/>
      <c r="AZ83" s="170"/>
      <c r="BA83" s="170"/>
      <c r="BB83" s="170"/>
      <c r="BC83" s="170"/>
      <c r="BD83" s="170"/>
      <c r="BE83" s="170"/>
      <c r="BF83" s="170"/>
      <c r="BG83" s="170"/>
      <c r="BH83" s="170"/>
      <c r="BI83" s="170"/>
      <c r="BJ83" s="170"/>
      <c r="BK83" s="170"/>
    </row>
    <row r="84" spans="1:63">
      <c r="A84" s="14">
        <f t="shared" si="10"/>
        <v>0</v>
      </c>
      <c r="B84" t="str">
        <f t="shared" si="11"/>
        <v/>
      </c>
      <c r="C84" t="str">
        <f>IFERROR(IF(V84&gt;0,INDEX('N03-S06'!$BI$18:$BI$199,2*(ROWS(C$70:C84)-1)+1),""),"")</f>
        <v/>
      </c>
      <c r="D84" t="s">
        <v>50</v>
      </c>
      <c r="E84" t="s">
        <v>38</v>
      </c>
      <c r="F84" t="s">
        <v>849</v>
      </c>
      <c r="G84">
        <f>IFERROR(INDEX('N03-S06'!$BE$18:$BE$199,2*(ROWS(G$70:G84)-1)+1),"")</f>
        <v>0</v>
      </c>
      <c r="H84" s="207"/>
      <c r="I84" s="48">
        <f>IFERROR(INDEX('N03-S06'!$AE$18:$AE$199,2*(ROWS(I$70:I84)-1)+1),"")</f>
        <v>0</v>
      </c>
      <c r="J84" s="560">
        <f>IFERROR(ROUND(INDEX('N03-S06'!$AI$18:$AI$199,2*(ROWS(J$70:J84)-1)+1),2),"")</f>
        <v>0</v>
      </c>
      <c r="K84" s="560">
        <f>IFERROR(ROUND(INDEX('N03-S06'!$AK$18:$AK$199,2*(ROWS(K$70:K84)-1)+1),2),"")</f>
        <v>0</v>
      </c>
      <c r="L84" s="13">
        <f>IFERROR(ROUND(INDEX('N03-S06'!$AY$38:$AY$199,2*(ROWS(L$70:L84)-1)+1),2),"")</f>
        <v>0</v>
      </c>
      <c r="N84" s="13">
        <f>IFERROR(ROUND(INDEX('N03-S06'!$BO$18:$BO$199,2*(ROWS(N$70:N84)-1)+1),2),"")</f>
        <v>0</v>
      </c>
      <c r="O84" s="207"/>
      <c r="P84" s="10">
        <f>IFERROR(ROUND(INDEX('N03-S06'!$U$18:$U$199,2*(ROWS(P$70:P84)-1)+1),3),"")</f>
        <v>0</v>
      </c>
      <c r="Q84" s="10">
        <f>IFERROR(ROUND(INDEX('N03-S06'!$U$18:$U$199,2*(ROWS(Q$70:Q84)-1)+1),3),"")</f>
        <v>0</v>
      </c>
      <c r="R84" s="25">
        <f>IFERROR(INDEX('N03-S06'!$BA$38:$BA$199,2*(ROWS(R$70:R84)-1)+1),"")</f>
        <v>0</v>
      </c>
      <c r="S84" s="25">
        <f>IFERROR(INDEX('N03-S06'!$BF$18:$BF$199,2*(ROWS(S$70:S84)-1)+1),"")</f>
        <v>0</v>
      </c>
      <c r="T84" s="31">
        <f>IFERROR(INDEX('N03-S06'!$BB$38:$BB$199,2*(ROWS(T$70:T84)-1)+1),"")</f>
        <v>0</v>
      </c>
      <c r="U84" s="31">
        <f>IFERROR(INDEX('N03-S06'!$BG$18:$BG$199,2*(ROWS(U$70:U84)-1)+1),"")</f>
        <v>0</v>
      </c>
      <c r="V84" s="560">
        <f>IFERROR(INDEX('N03-S06'!$AR$18:$AR$199,2*(ROWS(V$70:V84)-1)+1),"")</f>
        <v>0</v>
      </c>
      <c r="W84" s="204"/>
      <c r="X84" s="204"/>
      <c r="Y84" s="204"/>
      <c r="Z84" s="189"/>
      <c r="AA84" s="189"/>
      <c r="AB84" s="189"/>
      <c r="AC84" s="215"/>
      <c r="AD84" s="215"/>
      <c r="AE84" s="207"/>
      <c r="AF84" s="207"/>
      <c r="AG84" s="216"/>
      <c r="AH84" s="216"/>
      <c r="AI84" s="189"/>
      <c r="AJ84" s="25">
        <f>IFERROR(INDEX('N03-S06'!$BC$18:$BC$199,2*(ROWS(AJ$70:AJ84)-1)+1),"")</f>
        <v>0</v>
      </c>
      <c r="AK84" s="25">
        <f>IFERROR(INDEX('N03-S06'!$BD$18:$BD$199,2*(ROWS(AK$70:AK84)-1)+1),"")</f>
        <v>0</v>
      </c>
      <c r="AL84" s="207"/>
      <c r="AM84" s="207"/>
      <c r="AN84" s="207"/>
      <c r="AO84">
        <f>IFERROR(INDEX('N03-S06'!$B$18:$B$199,2*(ROWS(AO$70:AO84)-1)+1),"")</f>
        <v>0</v>
      </c>
      <c r="AP84" s="189"/>
      <c r="AQ84">
        <f>IFERROR(INDEX('N03-S06'!$C$18:$C$199,2*(ROWS(AQ$70:AQ84)-1)+1),"")</f>
        <v>0</v>
      </c>
      <c r="AR84" s="189"/>
      <c r="AS84" s="48">
        <f>IFERROR(INDEX('N03-S06'!$AA$18:$AA$199,2*(ROWS(AS$70:AS84)-1)+1),"")</f>
        <v>0</v>
      </c>
      <c r="AT84" s="204"/>
      <c r="AU84" s="204"/>
      <c r="AV84">
        <f>IFERROR(INDEX('N03-S06'!$AZ$38:$AZ$199,2*(ROWS(AV$70:AV84)-1)+1),"")</f>
        <v>0</v>
      </c>
      <c r="AW84" s="189"/>
      <c r="AX84" t="str">
        <f>IFERROR(INDEX(STDWATER_N[Reporting Methodology],MATCH(C84,STDWATER_N[Measure Number],0)),"")</f>
        <v/>
      </c>
      <c r="AY84" s="170"/>
      <c r="AZ84" s="170"/>
      <c r="BA84" s="170"/>
      <c r="BB84" s="170"/>
      <c r="BC84" s="170"/>
      <c r="BD84" s="170"/>
      <c r="BE84" s="170"/>
      <c r="BF84" s="170"/>
      <c r="BG84" s="170"/>
      <c r="BH84" s="170"/>
      <c r="BI84" s="170"/>
      <c r="BJ84" s="170"/>
      <c r="BK84" s="170"/>
    </row>
    <row r="85" spans="1:63">
      <c r="A85" s="223" t="str">
        <f>"Custom "&amp;N4S1</f>
        <v>Custom HVAC</v>
      </c>
      <c r="B85" s="30"/>
      <c r="C85" s="30"/>
      <c r="D85" s="30"/>
      <c r="E85" s="30"/>
      <c r="F85" s="30"/>
      <c r="G85" s="30"/>
      <c r="H85" s="208"/>
      <c r="I85" s="30"/>
      <c r="J85" s="203"/>
      <c r="K85" s="203"/>
      <c r="L85" s="203"/>
      <c r="M85" s="30"/>
      <c r="N85" s="30"/>
      <c r="O85" s="30"/>
      <c r="P85" s="211"/>
      <c r="Q85" s="211"/>
      <c r="R85" s="208"/>
      <c r="S85" s="208"/>
      <c r="T85" s="214"/>
      <c r="U85" s="214"/>
      <c r="V85" s="203"/>
      <c r="W85" s="203"/>
      <c r="X85" s="203"/>
      <c r="Y85" s="203"/>
      <c r="Z85" s="30"/>
      <c r="AA85" s="30"/>
      <c r="AB85" s="30"/>
      <c r="AC85" s="211"/>
      <c r="AD85" s="211"/>
      <c r="AE85" s="208"/>
      <c r="AF85" s="208"/>
      <c r="AG85" s="214"/>
      <c r="AH85" s="214"/>
      <c r="AI85" s="30"/>
      <c r="AJ85" s="208"/>
      <c r="AK85" s="208"/>
      <c r="AL85" s="208"/>
      <c r="AM85" s="208"/>
      <c r="AN85" s="208"/>
      <c r="AO85" s="30"/>
      <c r="AP85" s="30"/>
      <c r="AQ85" s="100"/>
      <c r="AR85" s="30"/>
      <c r="AS85" s="30"/>
      <c r="AT85" s="203"/>
      <c r="AU85" s="203"/>
      <c r="AV85" s="30"/>
      <c r="AW85" s="30"/>
      <c r="AX85" s="30"/>
      <c r="AY85" s="170"/>
      <c r="AZ85" s="170"/>
      <c r="BA85" s="170"/>
      <c r="BB85" s="170"/>
      <c r="BC85" s="170"/>
      <c r="BD85" s="170"/>
      <c r="BE85" s="170"/>
      <c r="BF85" s="170"/>
      <c r="BG85" s="170"/>
      <c r="BH85" s="170"/>
      <c r="BI85" s="170"/>
      <c r="BJ85" s="170"/>
      <c r="BK85" s="170"/>
    </row>
    <row r="86" spans="1:63" ht="14.25" customHeight="1">
      <c r="A86" s="14">
        <f t="shared" ref="A86:A100" si="12">PROJID_N</f>
        <v>0</v>
      </c>
      <c r="B86" t="str">
        <f>IF(C86="","",CONCATENATE(ROW(),"-",C86))</f>
        <v/>
      </c>
      <c r="C86" t="str">
        <f>IFERROR(IF(INDEX('N04-S01'!$BO$18:$BO$199,2*(ROWS($C$86:C86)-1)+1)="","",INDEX('N04-S01'!$BO$18:$BO$199,2*(ROWS($C$86:C86)-1)+1)),"")</f>
        <v/>
      </c>
      <c r="D86" t="s">
        <v>50</v>
      </c>
      <c r="E86" t="s">
        <v>38</v>
      </c>
      <c r="F86" t="s">
        <v>50</v>
      </c>
      <c r="G86" t="str">
        <f>IFERROR(INDEX('N04-S01'!$BG$18:$BG$199,2*(ROWS(G$86:G86)-1)+1),"")</f>
        <v/>
      </c>
      <c r="H86" s="207"/>
      <c r="I86" s="189"/>
      <c r="J86" s="189"/>
      <c r="K86" s="189"/>
      <c r="L86" s="13" t="str">
        <f ca="1">IFERROR(ROUND(IF($AI86&lt;&gt;"","",INDEX('N04-S01'!$AE$18:$AE$199,2*(ROWS(L$86:L86)-1)+1)),2),"")</f>
        <v/>
      </c>
      <c r="N86" s="13" t="str">
        <f ca="1">IFERROR(ROUND(IF($AI86&lt;&gt;"","",INDEX('N04-S01'!$AH$18:$AH$199,2*(ROWS(N$86:N86)-1)+1)),2),"")</f>
        <v/>
      </c>
      <c r="O86" s="13" t="str">
        <f ca="1">IFERROR(ROUND(IF($AI86&lt;&gt;"","",INDEX('N04-S01'!$AB$18:$AB$199,2*(ROWS(O$86:O86)-1)+1)),2),"")</f>
        <v/>
      </c>
      <c r="P86" s="10" t="str">
        <f ca="1">IFERROR(IF(AI86&lt;&gt;"","",ROUND(INDEX('N04-S01'!$BB$18:$BB$199,2*(ROWS(P$86:P86)-1)+1),3)),"")</f>
        <v/>
      </c>
      <c r="Q86" s="10" t="str">
        <f ca="1">IFERROR(IF(AI86&lt;&gt;"","",ROUND(INDEX('N04-S01'!$BC$18:$BC$199,2*(ROWS(Q$86:Q86)-1)+1),3)),"")</f>
        <v/>
      </c>
      <c r="R86" s="207"/>
      <c r="S86" s="25" t="str">
        <f ca="1">IFERROR(IF(AI86&lt;&gt;"","",INDEX('N04-S01'!$AK$18:$AK$199,2*(ROWS(S$86:S86)-1)+1)),"")</f>
        <v/>
      </c>
      <c r="T86" s="31" t="str">
        <f ca="1">IFERROR(IF(AI86&lt;&gt;"","",INDEX('N04-S01'!$BI$18:$BI$199,2*(ROWS(T$86:T86)-1)+1)),"")</f>
        <v/>
      </c>
      <c r="U86" s="31" t="str">
        <f ca="1">IFERROR(IF(AI86&lt;&gt;"","",INDEX('N04-S01'!$BH$18:$BH$199,2*(ROWS(U$86:U86)-1)+1)),"")</f>
        <v/>
      </c>
      <c r="V86" s="13" t="str">
        <f ca="1">IFERROR(IF(AI86&lt;&gt;"","",INDEX('N04-S01'!$AN$18:$AN$199,2*(ROWS(V$86:V86)-1)+1)),"")</f>
        <v/>
      </c>
      <c r="W86" s="207"/>
      <c r="X86" s="207"/>
      <c r="Y86" s="13">
        <f ca="1">IFERROR(IF(AI86&lt;&gt;"",INDEX('N04-S01'!$AE$18:$AE$199,2*(ROWS(Y$86:Y86)-1)+1),""),"")</f>
        <v>0</v>
      </c>
      <c r="AA86" s="13" t="str">
        <f ca="1">IFERROR(IF($AI86&lt;&gt;"",INDEX('N04-S01'!$AH$18:$AH$199,2*(ROWS(AA$86:AA86)-1)+1),""),"")</f>
        <v/>
      </c>
      <c r="AB86" s="13">
        <f ca="1">IFERROR(IF($AI86&lt;&gt;"",INDEX('N04-S01'!$AB$18:$AB$199,2*(ROWS(AB$86:AB86)-1)+1),""),"")</f>
        <v>0</v>
      </c>
      <c r="AC86" s="10" t="str">
        <f ca="1">IFERROR(IF(AI86&lt;&gt;"",ROUND(INDEX('N04-S01'!$BB$18:$BB$199,2*(ROWS(AC$86:AC86)-1)+1),3),""),"")</f>
        <v/>
      </c>
      <c r="AD86" s="10" t="str">
        <f ca="1">IFERROR(IF(AI86&lt;&gt;"",ROUND(INDEX('N04-S01'!$BC$18:$BC$199,2*(ROWS(AD$86:AD86)-1)+1),3),""),"")</f>
        <v/>
      </c>
      <c r="AE86" s="207"/>
      <c r="AF86" s="25" t="str">
        <f ca="1">IFERROR(IF(AI86&lt;&gt;"",INDEX('N04-S01'!$AK$18:$AK$199,2*(ROWS(AF$86:AF86)-1)+1),""),"")</f>
        <v/>
      </c>
      <c r="AG86" s="31">
        <f ca="1">IFERROR(IF(AI86&lt;&gt;"",INDEX('N04-S01'!$BI$18:$BI$199,2*(ROWS(AG$86:AG86)-1)+1),""),"")</f>
        <v>0</v>
      </c>
      <c r="AH86" s="31" t="str">
        <f ca="1">IFERROR(IF(AI86&lt;&gt;"",INDEX('N04-S01'!$BH$18:$BH$199,2*(ROWS(AH$86:AH86)-1)+1),""),"")</f>
        <v/>
      </c>
      <c r="AI86" t="str">
        <f ca="1">IFERROR(INDEX('N04-S01'!$BQ$18:$BQ$199,2*(ROWS(AI$86:AI86)-1)+1),"")</f>
        <v>Submit for Review</v>
      </c>
      <c r="AJ86" s="25" t="str">
        <f>IFERROR(INDEX('N04-S01'!$BD$18:$BD$199,2*(ROWS(AJ$86:AJ86)-1)+1),"")</f>
        <v/>
      </c>
      <c r="AK86" s="25" t="str">
        <f>IFERROR(INDEX('N04-S01'!$BE$18:$BE$199,2*(ROWS(AK$86:AK86)-1)+1),"")</f>
        <v/>
      </c>
      <c r="AL86" s="207"/>
      <c r="AM86" s="207"/>
      <c r="AN86" s="207"/>
      <c r="AO86">
        <f>IFERROR(INDEX('N04-S01'!$B$18:$B$199,2*(ROWS(AO$86:AO86)-1)+1),"")</f>
        <v>1</v>
      </c>
      <c r="AP86" s="189"/>
      <c r="AQ86">
        <f>IFERROR(INDEX('N04-S01'!$C$18:$C$199,2*(ROWS(AQ$86:AQ86)-1)+1),"")</f>
        <v>0</v>
      </c>
      <c r="AR86">
        <f>IFERROR(INDEX('N04-S01'!$L$18:$L$199,2*(ROWS(AR$86:AR86)-1)+1),"")</f>
        <v>0</v>
      </c>
      <c r="AS86">
        <f>IFERROR(INDEX('N04-S01'!$T$18:$T$199,2*(ROWS(AS$86:AS86)-1)+1),"")</f>
        <v>0</v>
      </c>
      <c r="AT86" s="13" t="str">
        <f>IFERROR(INDEX('N04-S01'!$AY$18:$AY$199,2*(ROWS(AT$86:AT86)-1)+1),"")</f>
        <v/>
      </c>
      <c r="AU86" s="13" t="str">
        <f>IFERROR(INDEX('N04-S01'!$AZ$18:$AZ$199,2*(ROWS(AU$86:AU86)-1)+1),"")</f>
        <v/>
      </c>
      <c r="AV86" t="str">
        <f>IFERROR(INDEX('N04-S01'!$BA$18:$BA$199,2*(ROWS(AV$86:AV86)-1)+1),"")</f>
        <v/>
      </c>
      <c r="AW86" t="str">
        <f>IFERROR(INDEX('N04-S01'!$BF$18:$BF$199,2*(ROWS(AW$86:AW86)-1)+1),"")</f>
        <v/>
      </c>
      <c r="AX86" t="s">
        <v>820</v>
      </c>
      <c r="AY86" s="170"/>
      <c r="AZ86" s="170"/>
      <c r="BA86" s="170"/>
      <c r="BB86" s="170"/>
      <c r="BC86" s="170"/>
      <c r="BD86" s="170"/>
      <c r="BE86" s="170"/>
      <c r="BF86" s="170"/>
      <c r="BG86" s="170"/>
      <c r="BH86" s="170"/>
      <c r="BI86" s="170"/>
      <c r="BJ86" s="170"/>
      <c r="BK86" s="170"/>
    </row>
    <row r="87" spans="1:63" ht="14.25" customHeight="1">
      <c r="A87" s="14">
        <f t="shared" si="12"/>
        <v>0</v>
      </c>
      <c r="B87" t="str">
        <f t="shared" ref="B87:B100" si="13">IF(C87="","",CONCATENATE(ROW(),"-",C87))</f>
        <v/>
      </c>
      <c r="C87" t="str">
        <f>IFERROR(IF(INDEX('N04-S01'!$BO$18:$BO$199,2*(ROWS($C$86:C87)-1)+1)="","",INDEX('N04-S01'!$BO$18:$BO$199,2*(ROWS($C$86:C87)-1)+1)),"")</f>
        <v/>
      </c>
      <c r="D87" t="s">
        <v>50</v>
      </c>
      <c r="E87" t="s">
        <v>38</v>
      </c>
      <c r="F87" t="s">
        <v>50</v>
      </c>
      <c r="G87" t="str">
        <f>IFERROR(INDEX('N04-S01'!$BG$18:$BG$199,2*(ROWS(G$86:G87)-1)+1),"")</f>
        <v/>
      </c>
      <c r="H87" s="207"/>
      <c r="I87" s="189"/>
      <c r="J87" s="189"/>
      <c r="K87" s="189"/>
      <c r="L87" s="13" t="str">
        <f ca="1">IFERROR(ROUND(IF($AI87&lt;&gt;"","",INDEX('N04-S01'!$AE$18:$AE$199,2*(ROWS(L$86:L87)-1)+1)),2),"")</f>
        <v/>
      </c>
      <c r="N87" s="13" t="str">
        <f ca="1">IFERROR(ROUND(IF($AI87&lt;&gt;"","",INDEX('N04-S01'!$AH$18:$AH$199,2*(ROWS(N$86:N87)-1)+1)),2),"")</f>
        <v/>
      </c>
      <c r="O87" s="13" t="str">
        <f ca="1">IFERROR(ROUND(IF($AI87&lt;&gt;"","",INDEX('N04-S01'!$AB$18:$AB$199,2*(ROWS(O$86:O87)-1)+1)),2),"")</f>
        <v/>
      </c>
      <c r="P87" s="10" t="str">
        <f ca="1">IFERROR(IF(AI87&lt;&gt;"","",ROUND(INDEX('N04-S01'!$BB$18:$BB$199,2*(ROWS(P$86:P87)-1)+1),3)),"")</f>
        <v/>
      </c>
      <c r="Q87" s="10" t="str">
        <f ca="1">IFERROR(IF(AI87&lt;&gt;"","",ROUND(INDEX('N04-S01'!$BC$18:$BC$199,2*(ROWS(Q$86:Q87)-1)+1),3)),"")</f>
        <v/>
      </c>
      <c r="R87" s="207"/>
      <c r="S87" s="25" t="str">
        <f ca="1">IFERROR(IF(AI87&lt;&gt;"","",INDEX('N04-S01'!$AK$18:$AK$199,2*(ROWS(S$86:S87)-1)+1)),"")</f>
        <v/>
      </c>
      <c r="T87" s="31" t="str">
        <f ca="1">IFERROR(IF(AI87&lt;&gt;"","",INDEX('N04-S01'!$BI$18:$BI$199,2*(ROWS(T$86:T87)-1)+1)),"")</f>
        <v/>
      </c>
      <c r="U87" s="31" t="str">
        <f ca="1">IFERROR(IF(AI87&lt;&gt;"","",INDEX('N04-S01'!$BH$18:$BH$199,2*(ROWS(U$86:U87)-1)+1)),"")</f>
        <v/>
      </c>
      <c r="V87" s="13" t="str">
        <f ca="1">IFERROR(IF(AI87&lt;&gt;"","",INDEX('N04-S01'!$AN$18:$AN$199,2*(ROWS(V$86:V87)-1)+1)),"")</f>
        <v/>
      </c>
      <c r="W87" s="207"/>
      <c r="X87" s="207"/>
      <c r="Y87" s="13">
        <f ca="1">IFERROR(IF(AI87&lt;&gt;"",INDEX('N04-S01'!$AE$18:$AE$199,2*(ROWS(Y$86:Y87)-1)+1),""),"")</f>
        <v>0</v>
      </c>
      <c r="AA87" s="13" t="str">
        <f ca="1">IFERROR(IF($AI87&lt;&gt;"",INDEX('N04-S01'!$AH$18:$AH$199,2*(ROWS(AA$86:AA87)-1)+1),""),"")</f>
        <v/>
      </c>
      <c r="AB87" s="13">
        <f ca="1">IFERROR(IF($AI87&lt;&gt;"",INDEX('N04-S01'!$AB$18:$AB$199,2*(ROWS(AB$86:AB87)-1)+1),""),"")</f>
        <v>0</v>
      </c>
      <c r="AC87" s="10" t="str">
        <f ca="1">IFERROR(IF(AI87&lt;&gt;"",ROUND(INDEX('N04-S01'!$BB$18:$BB$199,2*(ROWS(AC$86:AC87)-1)+1),3),""),"")</f>
        <v/>
      </c>
      <c r="AD87" s="10" t="str">
        <f ca="1">IFERROR(IF(AI87&lt;&gt;"",ROUND(INDEX('N04-S01'!$BC$18:$BC$199,2*(ROWS(AD$86:AD87)-1)+1),3),""),"")</f>
        <v/>
      </c>
      <c r="AE87" s="207"/>
      <c r="AF87" s="25" t="str">
        <f ca="1">IFERROR(IF(AI87&lt;&gt;"",INDEX('N04-S01'!$AK$18:$AK$199,2*(ROWS(AF$86:AF87)-1)+1),""),"")</f>
        <v/>
      </c>
      <c r="AG87" s="31">
        <f ca="1">IFERROR(IF(AI87&lt;&gt;"",INDEX('N04-S01'!$BI$18:$BI$199,2*(ROWS(AG$86:AG87)-1)+1),""),"")</f>
        <v>0</v>
      </c>
      <c r="AH87" s="31" t="str">
        <f ca="1">IFERROR(IF(AI87&lt;&gt;"",INDEX('N04-S01'!$BH$18:$BH$199,2*(ROWS(AH$86:AH87)-1)+1),""),"")</f>
        <v/>
      </c>
      <c r="AI87" t="str">
        <f ca="1">IFERROR(INDEX('N04-S01'!$BQ$18:$BQ$199,2*(ROWS(AI$86:AI87)-1)+1),"")</f>
        <v>Submit for Review</v>
      </c>
      <c r="AJ87" s="25" t="str">
        <f>IFERROR(INDEX('N04-S01'!$BD$18:$BD$199,2*(ROWS(AJ$86:AJ87)-1)+1),"")</f>
        <v/>
      </c>
      <c r="AK87" s="25" t="str">
        <f>IFERROR(INDEX('N04-S01'!$BE$18:$BE$199,2*(ROWS(AK$86:AK87)-1)+1),"")</f>
        <v/>
      </c>
      <c r="AL87" s="207"/>
      <c r="AM87" s="207"/>
      <c r="AN87" s="207"/>
      <c r="AO87">
        <f>IFERROR(INDEX('N04-S01'!$B$18:$B$199,2*(ROWS(AO$86:AO87)-1)+1),"")</f>
        <v>2</v>
      </c>
      <c r="AP87" s="189"/>
      <c r="AQ87">
        <f>IFERROR(INDEX('N04-S01'!$C$18:$C$199,2*(ROWS(AQ$86:AQ87)-1)+1),"")</f>
        <v>0</v>
      </c>
      <c r="AR87">
        <f>IFERROR(INDEX('N04-S01'!$L$18:$L$199,2*(ROWS(AR$86:AR87)-1)+1),"")</f>
        <v>0</v>
      </c>
      <c r="AS87">
        <f>IFERROR(INDEX('N04-S01'!$T$18:$T$199,2*(ROWS(AS$86:AS87)-1)+1),"")</f>
        <v>0</v>
      </c>
      <c r="AT87" s="13" t="str">
        <f>IFERROR(INDEX('N04-S01'!$AY$18:$AY$199,2*(ROWS(AT$86:AT87)-1)+1),"")</f>
        <v/>
      </c>
      <c r="AU87" s="13" t="str">
        <f>IFERROR(INDEX('N04-S01'!$AZ$18:$AZ$199,2*(ROWS(AU$86:AU87)-1)+1),"")</f>
        <v/>
      </c>
      <c r="AV87" t="str">
        <f>IFERROR(INDEX('N04-S01'!$BA$18:$BA$199,2*(ROWS(AV$86:AV87)-1)+1),"")</f>
        <v/>
      </c>
      <c r="AW87" t="str">
        <f>IFERROR(INDEX('N04-S01'!$BF$18:$BF$199,2*(ROWS(AW$86:AW87)-1)+1),"")</f>
        <v/>
      </c>
      <c r="AX87" t="s">
        <v>820</v>
      </c>
      <c r="AY87" s="170"/>
      <c r="AZ87" s="170"/>
      <c r="BA87" s="170"/>
      <c r="BB87" s="170"/>
      <c r="BC87" s="170"/>
      <c r="BD87" s="170"/>
      <c r="BE87" s="170"/>
      <c r="BF87" s="170"/>
      <c r="BG87" s="170"/>
      <c r="BH87" s="170"/>
      <c r="BI87" s="170"/>
      <c r="BJ87" s="170"/>
      <c r="BK87" s="170"/>
    </row>
    <row r="88" spans="1:63" ht="14.25" customHeight="1">
      <c r="A88" s="14">
        <f t="shared" si="12"/>
        <v>0</v>
      </c>
      <c r="B88" t="str">
        <f t="shared" si="13"/>
        <v/>
      </c>
      <c r="C88" t="str">
        <f>IFERROR(IF(INDEX('N04-S01'!$BO$18:$BO$199,2*(ROWS($C$86:C88)-1)+1)="","",INDEX('N04-S01'!$BO$18:$BO$199,2*(ROWS($C$86:C88)-1)+1)),"")</f>
        <v/>
      </c>
      <c r="D88" t="s">
        <v>50</v>
      </c>
      <c r="E88" t="s">
        <v>38</v>
      </c>
      <c r="F88" t="s">
        <v>50</v>
      </c>
      <c r="G88" t="str">
        <f>IFERROR(INDEX('N04-S01'!$BG$18:$BG$199,2*(ROWS(G$86:G88)-1)+1),"")</f>
        <v/>
      </c>
      <c r="H88" s="207"/>
      <c r="I88" s="189"/>
      <c r="J88" s="189"/>
      <c r="K88" s="189"/>
      <c r="L88" s="13" t="str">
        <f ca="1">IFERROR(ROUND(IF($AI88&lt;&gt;"","",INDEX('N04-S01'!$AE$18:$AE$199,2*(ROWS(L$86:L88)-1)+1)),2),"")</f>
        <v/>
      </c>
      <c r="N88" s="13" t="str">
        <f ca="1">IFERROR(ROUND(IF($AI88&lt;&gt;"","",INDEX('N04-S01'!$AH$18:$AH$199,2*(ROWS(N$86:N88)-1)+1)),2),"")</f>
        <v/>
      </c>
      <c r="O88" s="13" t="str">
        <f ca="1">IFERROR(ROUND(IF($AI88&lt;&gt;"","",INDEX('N04-S01'!$AB$18:$AB$199,2*(ROWS(O$86:O88)-1)+1)),2),"")</f>
        <v/>
      </c>
      <c r="P88" s="10" t="str">
        <f ca="1">IFERROR(IF(AI88&lt;&gt;"","",ROUND(INDEX('N04-S01'!$BB$18:$BB$199,2*(ROWS(P$86:P88)-1)+1),3)),"")</f>
        <v/>
      </c>
      <c r="Q88" s="10" t="str">
        <f ca="1">IFERROR(IF(AI88&lt;&gt;"","",ROUND(INDEX('N04-S01'!$BC$18:$BC$199,2*(ROWS(Q$86:Q88)-1)+1),3)),"")</f>
        <v/>
      </c>
      <c r="R88" s="207"/>
      <c r="S88" s="25" t="str">
        <f ca="1">IFERROR(IF(AI88&lt;&gt;"","",INDEX('N04-S01'!$AK$18:$AK$199,2*(ROWS(S$86:S88)-1)+1)),"")</f>
        <v/>
      </c>
      <c r="T88" s="31" t="str">
        <f ca="1">IFERROR(IF(AI88&lt;&gt;"","",INDEX('N04-S01'!$BI$18:$BI$199,2*(ROWS(T$86:T88)-1)+1)),"")</f>
        <v/>
      </c>
      <c r="U88" s="31" t="str">
        <f ca="1">IFERROR(IF(AI88&lt;&gt;"","",INDEX('N04-S01'!$BH$18:$BH$199,2*(ROWS(U$86:U88)-1)+1)),"")</f>
        <v/>
      </c>
      <c r="V88" s="13" t="str">
        <f ca="1">IFERROR(IF(AI88&lt;&gt;"","",INDEX('N04-S01'!$AN$18:$AN$199,2*(ROWS(V$86:V88)-1)+1)),"")</f>
        <v/>
      </c>
      <c r="W88" s="207"/>
      <c r="X88" s="207"/>
      <c r="Y88" s="13">
        <f ca="1">IFERROR(IF(AI88&lt;&gt;"",INDEX('N04-S01'!$AE$18:$AE$199,2*(ROWS(Y$86:Y88)-1)+1),""),"")</f>
        <v>0</v>
      </c>
      <c r="AA88" s="13" t="str">
        <f ca="1">IFERROR(IF($AI88&lt;&gt;"",INDEX('N04-S01'!$AH$18:$AH$199,2*(ROWS(AA$86:AA88)-1)+1),""),"")</f>
        <v/>
      </c>
      <c r="AB88" s="13">
        <f ca="1">IFERROR(IF($AI88&lt;&gt;"",INDEX('N04-S01'!$AB$18:$AB$199,2*(ROWS(AB$86:AB88)-1)+1),""),"")</f>
        <v>0</v>
      </c>
      <c r="AC88" s="10" t="str">
        <f ca="1">IFERROR(IF(AI88&lt;&gt;"",ROUND(INDEX('N04-S01'!$BB$18:$BB$199,2*(ROWS(AC$86:AC88)-1)+1),3),""),"")</f>
        <v/>
      </c>
      <c r="AD88" s="10" t="str">
        <f ca="1">IFERROR(IF(AI88&lt;&gt;"",ROUND(INDEX('N04-S01'!$BC$18:$BC$199,2*(ROWS(AD$86:AD88)-1)+1),3),""),"")</f>
        <v/>
      </c>
      <c r="AE88" s="207"/>
      <c r="AF88" s="25" t="str">
        <f ca="1">IFERROR(IF(AI88&lt;&gt;"",INDEX('N04-S01'!$AK$18:$AK$199,2*(ROWS(AF$86:AF88)-1)+1),""),"")</f>
        <v/>
      </c>
      <c r="AG88" s="31">
        <f ca="1">IFERROR(IF(AI88&lt;&gt;"",INDEX('N04-S01'!$BI$18:$BI$199,2*(ROWS(AG$86:AG88)-1)+1),""),"")</f>
        <v>0</v>
      </c>
      <c r="AH88" s="31" t="str">
        <f ca="1">IFERROR(IF(AI88&lt;&gt;"",INDEX('N04-S01'!$BH$18:$BH$199,2*(ROWS(AH$86:AH88)-1)+1),""),"")</f>
        <v/>
      </c>
      <c r="AI88" t="str">
        <f ca="1">IFERROR(INDEX('N04-S01'!$BQ$18:$BQ$199,2*(ROWS(AI$86:AI88)-1)+1),"")</f>
        <v>Submit for Review</v>
      </c>
      <c r="AJ88" s="25" t="str">
        <f>IFERROR(INDEX('N04-S01'!$BD$18:$BD$199,2*(ROWS(AJ$86:AJ88)-1)+1),"")</f>
        <v/>
      </c>
      <c r="AK88" s="25" t="str">
        <f>IFERROR(INDEX('N04-S01'!$BE$18:$BE$199,2*(ROWS(AK$86:AK88)-1)+1),"")</f>
        <v/>
      </c>
      <c r="AL88" s="207"/>
      <c r="AM88" s="207"/>
      <c r="AN88" s="207"/>
      <c r="AO88">
        <f>IFERROR(INDEX('N04-S01'!$B$18:$B$199,2*(ROWS(AO$86:AO88)-1)+1),"")</f>
        <v>3</v>
      </c>
      <c r="AP88" s="189"/>
      <c r="AQ88">
        <f>IFERROR(INDEX('N04-S01'!$C$18:$C$199,2*(ROWS(AQ$86:AQ88)-1)+1),"")</f>
        <v>0</v>
      </c>
      <c r="AR88">
        <f>IFERROR(INDEX('N04-S01'!$L$18:$L$199,2*(ROWS(AR$86:AR88)-1)+1),"")</f>
        <v>0</v>
      </c>
      <c r="AS88">
        <f>IFERROR(INDEX('N04-S01'!$T$18:$T$199,2*(ROWS(AS$86:AS88)-1)+1),"")</f>
        <v>0</v>
      </c>
      <c r="AT88" s="13" t="str">
        <f>IFERROR(INDEX('N04-S01'!$AY$18:$AY$199,2*(ROWS(AT$86:AT88)-1)+1),"")</f>
        <v/>
      </c>
      <c r="AU88" s="13" t="str">
        <f>IFERROR(INDEX('N04-S01'!$AZ$18:$AZ$199,2*(ROWS(AU$86:AU88)-1)+1),"")</f>
        <v/>
      </c>
      <c r="AV88" t="str">
        <f>IFERROR(INDEX('N04-S01'!$BA$18:$BA$199,2*(ROWS(AV$86:AV88)-1)+1),"")</f>
        <v/>
      </c>
      <c r="AW88" t="str">
        <f>IFERROR(INDEX('N04-S01'!$BF$18:$BF$199,2*(ROWS(AW$86:AW88)-1)+1),"")</f>
        <v/>
      </c>
      <c r="AX88" t="s">
        <v>820</v>
      </c>
      <c r="AY88" s="170"/>
      <c r="AZ88" s="170"/>
      <c r="BA88" s="170"/>
      <c r="BB88" s="170"/>
      <c r="BC88" s="170"/>
      <c r="BD88" s="170"/>
      <c r="BE88" s="170"/>
      <c r="BF88" s="170"/>
      <c r="BG88" s="170"/>
      <c r="BH88" s="170"/>
      <c r="BI88" s="170"/>
      <c r="BJ88" s="170"/>
      <c r="BK88" s="170"/>
    </row>
    <row r="89" spans="1:63" ht="14.25" customHeight="1">
      <c r="A89" s="14">
        <f t="shared" si="12"/>
        <v>0</v>
      </c>
      <c r="B89" t="str">
        <f t="shared" si="13"/>
        <v/>
      </c>
      <c r="C89" t="str">
        <f>IFERROR(IF(INDEX('N04-S01'!$BO$18:$BO$199,2*(ROWS($C$86:C89)-1)+1)="","",INDEX('N04-S01'!$BO$18:$BO$199,2*(ROWS($C$86:C89)-1)+1)),"")</f>
        <v/>
      </c>
      <c r="D89" t="s">
        <v>50</v>
      </c>
      <c r="E89" t="s">
        <v>38</v>
      </c>
      <c r="F89" t="s">
        <v>50</v>
      </c>
      <c r="G89" t="str">
        <f>IFERROR(INDEX('N04-S01'!$BG$18:$BG$199,2*(ROWS(G$86:G89)-1)+1),"")</f>
        <v/>
      </c>
      <c r="H89" s="207"/>
      <c r="I89" s="189"/>
      <c r="J89" s="189"/>
      <c r="K89" s="189"/>
      <c r="L89" s="13" t="str">
        <f ca="1">IFERROR(ROUND(IF($AI89&lt;&gt;"","",INDEX('N04-S01'!$AE$18:$AE$199,2*(ROWS(L$86:L89)-1)+1)),2),"")</f>
        <v/>
      </c>
      <c r="N89" s="13" t="str">
        <f ca="1">IFERROR(ROUND(IF($AI89&lt;&gt;"","",INDEX('N04-S01'!$AH$18:$AH$199,2*(ROWS(N$86:N89)-1)+1)),2),"")</f>
        <v/>
      </c>
      <c r="O89" s="13" t="str">
        <f ca="1">IFERROR(ROUND(IF($AI89&lt;&gt;"","",INDEX('N04-S01'!$AB$18:$AB$199,2*(ROWS(O$86:O89)-1)+1)),2),"")</f>
        <v/>
      </c>
      <c r="P89" s="10" t="str">
        <f ca="1">IFERROR(IF(AI89&lt;&gt;"","",ROUND(INDEX('N04-S01'!$BB$18:$BB$199,2*(ROWS(P$86:P89)-1)+1),3)),"")</f>
        <v/>
      </c>
      <c r="Q89" s="10" t="str">
        <f ca="1">IFERROR(IF(AI89&lt;&gt;"","",ROUND(INDEX('N04-S01'!$BC$18:$BC$199,2*(ROWS(Q$86:Q89)-1)+1),3)),"")</f>
        <v/>
      </c>
      <c r="R89" s="207"/>
      <c r="S89" s="25" t="str">
        <f ca="1">IFERROR(IF(AI89&lt;&gt;"","",INDEX('N04-S01'!$AK$18:$AK$199,2*(ROWS(S$86:S89)-1)+1)),"")</f>
        <v/>
      </c>
      <c r="T89" s="31" t="str">
        <f ca="1">IFERROR(IF(AI89&lt;&gt;"","",INDEX('N04-S01'!$BI$18:$BI$199,2*(ROWS(T$86:T89)-1)+1)),"")</f>
        <v/>
      </c>
      <c r="U89" s="31" t="str">
        <f ca="1">IFERROR(IF(AI89&lt;&gt;"","",INDEX('N04-S01'!$BH$18:$BH$199,2*(ROWS(U$86:U89)-1)+1)),"")</f>
        <v/>
      </c>
      <c r="V89" s="13" t="str">
        <f ca="1">IFERROR(IF(AI89&lt;&gt;"","",INDEX('N04-S01'!$AN$18:$AN$199,2*(ROWS(V$86:V89)-1)+1)),"")</f>
        <v/>
      </c>
      <c r="W89" s="207"/>
      <c r="X89" s="207"/>
      <c r="Y89" s="13">
        <f ca="1">IFERROR(IF(AI89&lt;&gt;"",INDEX('N04-S01'!$AE$18:$AE$199,2*(ROWS(Y$86:Y89)-1)+1),""),"")</f>
        <v>0</v>
      </c>
      <c r="AA89" s="13" t="str">
        <f ca="1">IFERROR(IF($AI89&lt;&gt;"",INDEX('N04-S01'!$AH$18:$AH$199,2*(ROWS(AA$86:AA89)-1)+1),""),"")</f>
        <v/>
      </c>
      <c r="AB89" s="13">
        <f ca="1">IFERROR(IF($AI89&lt;&gt;"",INDEX('N04-S01'!$AB$18:$AB$199,2*(ROWS(AB$86:AB89)-1)+1),""),"")</f>
        <v>0</v>
      </c>
      <c r="AC89" s="10" t="str">
        <f ca="1">IFERROR(IF(AI89&lt;&gt;"",ROUND(INDEX('N04-S01'!$BB$18:$BB$199,2*(ROWS(AC$86:AC89)-1)+1),3),""),"")</f>
        <v/>
      </c>
      <c r="AD89" s="10" t="str">
        <f ca="1">IFERROR(IF(AI89&lt;&gt;"",ROUND(INDEX('N04-S01'!$BC$18:$BC$199,2*(ROWS(AD$86:AD89)-1)+1),3),""),"")</f>
        <v/>
      </c>
      <c r="AE89" s="207"/>
      <c r="AF89" s="25" t="str">
        <f ca="1">IFERROR(IF(AI89&lt;&gt;"",INDEX('N04-S01'!$AK$18:$AK$199,2*(ROWS(AF$86:AF89)-1)+1),""),"")</f>
        <v/>
      </c>
      <c r="AG89" s="31">
        <f ca="1">IFERROR(IF(AI89&lt;&gt;"",INDEX('N04-S01'!$BI$18:$BI$199,2*(ROWS(AG$86:AG89)-1)+1),""),"")</f>
        <v>0</v>
      </c>
      <c r="AH89" s="31" t="str">
        <f ca="1">IFERROR(IF(AI89&lt;&gt;"",INDEX('N04-S01'!$BH$18:$BH$199,2*(ROWS(AH$86:AH89)-1)+1),""),"")</f>
        <v/>
      </c>
      <c r="AI89" t="str">
        <f ca="1">IFERROR(INDEX('N04-S01'!$BQ$18:$BQ$199,2*(ROWS(AI$86:AI89)-1)+1),"")</f>
        <v>Submit for Review</v>
      </c>
      <c r="AJ89" s="25" t="str">
        <f>IFERROR(INDEX('N04-S01'!$BD$18:$BD$199,2*(ROWS(AJ$86:AJ89)-1)+1),"")</f>
        <v/>
      </c>
      <c r="AK89" s="25" t="str">
        <f>IFERROR(INDEX('N04-S01'!$BE$18:$BE$199,2*(ROWS(AK$86:AK89)-1)+1),"")</f>
        <v/>
      </c>
      <c r="AL89" s="207"/>
      <c r="AM89" s="207"/>
      <c r="AN89" s="207"/>
      <c r="AO89">
        <f>IFERROR(INDEX('N04-S01'!$B$18:$B$199,2*(ROWS(AO$86:AO89)-1)+1),"")</f>
        <v>4</v>
      </c>
      <c r="AP89" s="189"/>
      <c r="AQ89">
        <f>IFERROR(INDEX('N04-S01'!$C$18:$C$199,2*(ROWS(AQ$86:AQ89)-1)+1),"")</f>
        <v>0</v>
      </c>
      <c r="AR89">
        <f>IFERROR(INDEX('N04-S01'!$L$18:$L$199,2*(ROWS(AR$86:AR89)-1)+1),"")</f>
        <v>0</v>
      </c>
      <c r="AS89">
        <f>IFERROR(INDEX('N04-S01'!$T$18:$T$199,2*(ROWS(AS$86:AS89)-1)+1),"")</f>
        <v>0</v>
      </c>
      <c r="AT89" s="13" t="str">
        <f>IFERROR(INDEX('N04-S01'!$AY$18:$AY$199,2*(ROWS(AT$86:AT89)-1)+1),"")</f>
        <v/>
      </c>
      <c r="AU89" s="13" t="str">
        <f>IFERROR(INDEX('N04-S01'!$AZ$18:$AZ$199,2*(ROWS(AU$86:AU89)-1)+1),"")</f>
        <v/>
      </c>
      <c r="AV89" t="str">
        <f>IFERROR(INDEX('N04-S01'!$BA$18:$BA$199,2*(ROWS(AV$86:AV89)-1)+1),"")</f>
        <v/>
      </c>
      <c r="AW89" t="str">
        <f>IFERROR(INDEX('N04-S01'!$BF$18:$BF$199,2*(ROWS(AW$86:AW89)-1)+1),"")</f>
        <v/>
      </c>
      <c r="AX89" t="s">
        <v>820</v>
      </c>
      <c r="AY89" s="170"/>
      <c r="AZ89" s="170"/>
      <c r="BA89" s="170"/>
      <c r="BB89" s="170"/>
      <c r="BC89" s="170"/>
      <c r="BD89" s="170"/>
      <c r="BE89" s="170"/>
      <c r="BF89" s="170"/>
      <c r="BG89" s="170"/>
      <c r="BH89" s="170"/>
      <c r="BI89" s="170"/>
      <c r="BJ89" s="170"/>
      <c r="BK89" s="170"/>
    </row>
    <row r="90" spans="1:63" ht="14.25" customHeight="1">
      <c r="A90" s="14">
        <f t="shared" si="12"/>
        <v>0</v>
      </c>
      <c r="B90" t="str">
        <f t="shared" si="13"/>
        <v/>
      </c>
      <c r="C90" t="str">
        <f>IFERROR(IF(INDEX('N04-S01'!$BO$18:$BO$199,2*(ROWS($C$86:C90)-1)+1)="","",INDEX('N04-S01'!$BO$18:$BO$199,2*(ROWS($C$86:C90)-1)+1)),"")</f>
        <v/>
      </c>
      <c r="D90" t="s">
        <v>50</v>
      </c>
      <c r="E90" t="s">
        <v>38</v>
      </c>
      <c r="F90" t="s">
        <v>50</v>
      </c>
      <c r="G90" t="str">
        <f>IFERROR(INDEX('N04-S01'!$BG$18:$BG$199,2*(ROWS(G$86:G90)-1)+1),"")</f>
        <v/>
      </c>
      <c r="H90" s="207"/>
      <c r="I90" s="189"/>
      <c r="J90" s="189"/>
      <c r="K90" s="189"/>
      <c r="L90" s="13" t="str">
        <f ca="1">IFERROR(ROUND(IF($AI90&lt;&gt;"","",INDEX('N04-S01'!$AE$18:$AE$199,2*(ROWS(L$86:L90)-1)+1)),2),"")</f>
        <v/>
      </c>
      <c r="N90" s="13" t="str">
        <f ca="1">IFERROR(ROUND(IF($AI90&lt;&gt;"","",INDEX('N04-S01'!$AH$18:$AH$199,2*(ROWS(N$86:N90)-1)+1)),2),"")</f>
        <v/>
      </c>
      <c r="O90" s="13" t="str">
        <f ca="1">IFERROR(ROUND(IF($AI90&lt;&gt;"","",INDEX('N04-S01'!$AB$18:$AB$199,2*(ROWS(O$86:O90)-1)+1)),2),"")</f>
        <v/>
      </c>
      <c r="P90" s="10" t="str">
        <f ca="1">IFERROR(IF(AI90&lt;&gt;"","",ROUND(INDEX('N04-S01'!$BB$18:$BB$199,2*(ROWS(P$86:P90)-1)+1),3)),"")</f>
        <v/>
      </c>
      <c r="Q90" s="10" t="str">
        <f ca="1">IFERROR(IF(AI90&lt;&gt;"","",ROUND(INDEX('N04-S01'!$BC$18:$BC$199,2*(ROWS(Q$86:Q90)-1)+1),3)),"")</f>
        <v/>
      </c>
      <c r="R90" s="207"/>
      <c r="S90" s="25" t="str">
        <f ca="1">IFERROR(IF(AI90&lt;&gt;"","",INDEX('N04-S01'!$AK$18:$AK$199,2*(ROWS(S$86:S90)-1)+1)),"")</f>
        <v/>
      </c>
      <c r="T90" s="31" t="str">
        <f ca="1">IFERROR(IF(AI90&lt;&gt;"","",INDEX('N04-S01'!$BI$18:$BI$199,2*(ROWS(T$86:T90)-1)+1)),"")</f>
        <v/>
      </c>
      <c r="U90" s="31" t="str">
        <f ca="1">IFERROR(IF(AI90&lt;&gt;"","",INDEX('N04-S01'!$BH$18:$BH$199,2*(ROWS(U$86:U90)-1)+1)),"")</f>
        <v/>
      </c>
      <c r="V90" s="13" t="str">
        <f ca="1">IFERROR(IF(AI90&lt;&gt;"","",INDEX('N04-S01'!$AN$18:$AN$199,2*(ROWS(V$86:V90)-1)+1)),"")</f>
        <v/>
      </c>
      <c r="W90" s="207"/>
      <c r="X90" s="207"/>
      <c r="Y90" s="13">
        <f ca="1">IFERROR(IF(AI90&lt;&gt;"",INDEX('N04-S01'!$AE$18:$AE$199,2*(ROWS(Y$86:Y90)-1)+1),""),"")</f>
        <v>0</v>
      </c>
      <c r="AA90" s="13" t="str">
        <f ca="1">IFERROR(IF($AI90&lt;&gt;"",INDEX('N04-S01'!$AH$18:$AH$199,2*(ROWS(AA$86:AA90)-1)+1),""),"")</f>
        <v/>
      </c>
      <c r="AB90" s="13">
        <f ca="1">IFERROR(IF($AI90&lt;&gt;"",INDEX('N04-S01'!$AB$18:$AB$199,2*(ROWS(AB$86:AB90)-1)+1),""),"")</f>
        <v>0</v>
      </c>
      <c r="AC90" s="10" t="str">
        <f ca="1">IFERROR(IF(AI90&lt;&gt;"",ROUND(INDEX('N04-S01'!$BB$18:$BB$199,2*(ROWS(AC$86:AC90)-1)+1),3),""),"")</f>
        <v/>
      </c>
      <c r="AD90" s="10" t="str">
        <f ca="1">IFERROR(IF(AI90&lt;&gt;"",ROUND(INDEX('N04-S01'!$BC$18:$BC$199,2*(ROWS(AD$86:AD90)-1)+1),3),""),"")</f>
        <v/>
      </c>
      <c r="AE90" s="207"/>
      <c r="AF90" s="25" t="str">
        <f ca="1">IFERROR(IF(AI90&lt;&gt;"",INDEX('N04-S01'!$AK$18:$AK$199,2*(ROWS(AF$86:AF90)-1)+1),""),"")</f>
        <v/>
      </c>
      <c r="AG90" s="31">
        <f ca="1">IFERROR(IF(AI90&lt;&gt;"",INDEX('N04-S01'!$BI$18:$BI$199,2*(ROWS(AG$86:AG90)-1)+1),""),"")</f>
        <v>0</v>
      </c>
      <c r="AH90" s="31" t="str">
        <f ca="1">IFERROR(IF(AI90&lt;&gt;"",INDEX('N04-S01'!$BH$18:$BH$199,2*(ROWS(AH$86:AH90)-1)+1),""),"")</f>
        <v/>
      </c>
      <c r="AI90" t="str">
        <f ca="1">IFERROR(INDEX('N04-S01'!$BQ$18:$BQ$199,2*(ROWS(AI$86:AI90)-1)+1),"")</f>
        <v>Submit for Review</v>
      </c>
      <c r="AJ90" s="25" t="str">
        <f>IFERROR(INDEX('N04-S01'!$BD$18:$BD$199,2*(ROWS(AJ$86:AJ90)-1)+1),"")</f>
        <v/>
      </c>
      <c r="AK90" s="25" t="str">
        <f>IFERROR(INDEX('N04-S01'!$BE$18:$BE$199,2*(ROWS(AK$86:AK90)-1)+1),"")</f>
        <v/>
      </c>
      <c r="AL90" s="207"/>
      <c r="AM90" s="207"/>
      <c r="AN90" s="207"/>
      <c r="AO90">
        <f>IFERROR(INDEX('N04-S01'!$B$18:$B$199,2*(ROWS(AO$86:AO90)-1)+1),"")</f>
        <v>5</v>
      </c>
      <c r="AP90" s="189"/>
      <c r="AQ90">
        <f>IFERROR(INDEX('N04-S01'!$C$18:$C$199,2*(ROWS(AQ$86:AQ90)-1)+1),"")</f>
        <v>0</v>
      </c>
      <c r="AR90">
        <f>IFERROR(INDEX('N04-S01'!$L$18:$L$199,2*(ROWS(AR$86:AR90)-1)+1),"")</f>
        <v>0</v>
      </c>
      <c r="AS90">
        <f>IFERROR(INDEX('N04-S01'!$T$18:$T$199,2*(ROWS(AS$86:AS90)-1)+1),"")</f>
        <v>0</v>
      </c>
      <c r="AT90" s="13" t="str">
        <f>IFERROR(INDEX('N04-S01'!$AY$18:$AY$199,2*(ROWS(AT$86:AT90)-1)+1),"")</f>
        <v/>
      </c>
      <c r="AU90" s="13" t="str">
        <f>IFERROR(INDEX('N04-S01'!$AZ$18:$AZ$199,2*(ROWS(AU$86:AU90)-1)+1),"")</f>
        <v/>
      </c>
      <c r="AV90" t="str">
        <f>IFERROR(INDEX('N04-S01'!$BA$18:$BA$199,2*(ROWS(AV$86:AV90)-1)+1),"")</f>
        <v/>
      </c>
      <c r="AW90" t="str">
        <f>IFERROR(INDEX('N04-S01'!$BF$18:$BF$199,2*(ROWS(AW$86:AW90)-1)+1),"")</f>
        <v/>
      </c>
      <c r="AX90" t="s">
        <v>820</v>
      </c>
      <c r="AY90" s="170"/>
      <c r="AZ90" s="170"/>
      <c r="BA90" s="170"/>
      <c r="BB90" s="170"/>
      <c r="BC90" s="170"/>
      <c r="BD90" s="170"/>
      <c r="BE90" s="170"/>
      <c r="BF90" s="170"/>
      <c r="BG90" s="170"/>
      <c r="BH90" s="170"/>
      <c r="BI90" s="170"/>
      <c r="BJ90" s="170"/>
      <c r="BK90" s="170"/>
    </row>
    <row r="91" spans="1:63" ht="14.25" customHeight="1">
      <c r="A91" s="14">
        <f t="shared" si="12"/>
        <v>0</v>
      </c>
      <c r="B91" t="str">
        <f t="shared" si="13"/>
        <v/>
      </c>
      <c r="C91" t="str">
        <f>IFERROR(IF(INDEX('N04-S01'!$BO$18:$BO$199,2*(ROWS($C$86:C91)-1)+1)="","",INDEX('N04-S01'!$BO$18:$BO$199,2*(ROWS($C$86:C91)-1)+1)),"")</f>
        <v/>
      </c>
      <c r="D91" t="s">
        <v>50</v>
      </c>
      <c r="E91" t="s">
        <v>38</v>
      </c>
      <c r="F91" t="s">
        <v>50</v>
      </c>
      <c r="G91" t="str">
        <f>IFERROR(INDEX('N04-S01'!$BG$18:$BG$199,2*(ROWS(G$86:G91)-1)+1),"")</f>
        <v/>
      </c>
      <c r="H91" s="207"/>
      <c r="I91" s="189"/>
      <c r="J91" s="189"/>
      <c r="K91" s="189"/>
      <c r="L91" s="13" t="str">
        <f ca="1">IFERROR(ROUND(IF($AI91&lt;&gt;"","",INDEX('N04-S01'!$AE$18:$AE$199,2*(ROWS(L$86:L91)-1)+1)),2),"")</f>
        <v/>
      </c>
      <c r="N91" s="13" t="str">
        <f ca="1">IFERROR(ROUND(IF($AI91&lt;&gt;"","",INDEX('N04-S01'!$AH$18:$AH$199,2*(ROWS(N$86:N91)-1)+1)),2),"")</f>
        <v/>
      </c>
      <c r="O91" s="13" t="str">
        <f ca="1">IFERROR(ROUND(IF($AI91&lt;&gt;"","",INDEX('N04-S01'!$AB$18:$AB$199,2*(ROWS(O$86:O91)-1)+1)),2),"")</f>
        <v/>
      </c>
      <c r="P91" s="10" t="str">
        <f ca="1">IFERROR(IF(AI91&lt;&gt;"","",ROUND(INDEX('N04-S01'!$BB$18:$BB$199,2*(ROWS(P$86:P91)-1)+1),3)),"")</f>
        <v/>
      </c>
      <c r="Q91" s="10" t="str">
        <f ca="1">IFERROR(IF(AI91&lt;&gt;"","",ROUND(INDEX('N04-S01'!$BC$18:$BC$199,2*(ROWS(Q$86:Q91)-1)+1),3)),"")</f>
        <v/>
      </c>
      <c r="R91" s="207"/>
      <c r="S91" s="25" t="str">
        <f ca="1">IFERROR(IF(AI91&lt;&gt;"","",INDEX('N04-S01'!$AK$18:$AK$199,2*(ROWS(S$86:S91)-1)+1)),"")</f>
        <v/>
      </c>
      <c r="T91" s="31" t="str">
        <f ca="1">IFERROR(IF(AI91&lt;&gt;"","",INDEX('N04-S01'!$BI$18:$BI$199,2*(ROWS(T$86:T91)-1)+1)),"")</f>
        <v/>
      </c>
      <c r="U91" s="31" t="str">
        <f ca="1">IFERROR(IF(AI91&lt;&gt;"","",INDEX('N04-S01'!$BH$18:$BH$199,2*(ROWS(U$86:U91)-1)+1)),"")</f>
        <v/>
      </c>
      <c r="V91" s="13" t="str">
        <f ca="1">IFERROR(IF(AI91&lt;&gt;"","",INDEX('N04-S01'!$AN$18:$AN$199,2*(ROWS(V$86:V91)-1)+1)),"")</f>
        <v/>
      </c>
      <c r="W91" s="207"/>
      <c r="X91" s="207"/>
      <c r="Y91" s="13">
        <f ca="1">IFERROR(IF(AI91&lt;&gt;"",INDEX('N04-S01'!$AE$18:$AE$199,2*(ROWS(Y$86:Y91)-1)+1),""),"")</f>
        <v>0</v>
      </c>
      <c r="AA91" s="13" t="str">
        <f ca="1">IFERROR(IF($AI91&lt;&gt;"",INDEX('N04-S01'!$AH$18:$AH$199,2*(ROWS(AA$86:AA91)-1)+1),""),"")</f>
        <v/>
      </c>
      <c r="AB91" s="13">
        <f ca="1">IFERROR(IF($AI91&lt;&gt;"",INDEX('N04-S01'!$AB$18:$AB$199,2*(ROWS(AB$86:AB91)-1)+1),""),"")</f>
        <v>0</v>
      </c>
      <c r="AC91" s="10" t="str">
        <f ca="1">IFERROR(IF(AI91&lt;&gt;"",ROUND(INDEX('N04-S01'!$BB$18:$BB$199,2*(ROWS(AC$86:AC91)-1)+1),3),""),"")</f>
        <v/>
      </c>
      <c r="AD91" s="10" t="str">
        <f ca="1">IFERROR(IF(AI91&lt;&gt;"",ROUND(INDEX('N04-S01'!$BC$18:$BC$199,2*(ROWS(AD$86:AD91)-1)+1),3),""),"")</f>
        <v/>
      </c>
      <c r="AE91" s="207"/>
      <c r="AF91" s="25" t="str">
        <f ca="1">IFERROR(IF(AI91&lt;&gt;"",INDEX('N04-S01'!$AK$18:$AK$199,2*(ROWS(AF$86:AF91)-1)+1),""),"")</f>
        <v/>
      </c>
      <c r="AG91" s="31">
        <f ca="1">IFERROR(IF(AI91&lt;&gt;"",INDEX('N04-S01'!$BI$18:$BI$199,2*(ROWS(AG$86:AG91)-1)+1),""),"")</f>
        <v>0</v>
      </c>
      <c r="AH91" s="31" t="str">
        <f ca="1">IFERROR(IF(AI91&lt;&gt;"",INDEX('N04-S01'!$BH$18:$BH$199,2*(ROWS(AH$86:AH91)-1)+1),""),"")</f>
        <v/>
      </c>
      <c r="AI91" t="str">
        <f ca="1">IFERROR(INDEX('N04-S01'!$BQ$18:$BQ$199,2*(ROWS(AI$86:AI91)-1)+1),"")</f>
        <v>Submit for Review</v>
      </c>
      <c r="AJ91" s="25" t="str">
        <f>IFERROR(INDEX('N04-S01'!$BD$18:$BD$199,2*(ROWS(AJ$86:AJ91)-1)+1),"")</f>
        <v/>
      </c>
      <c r="AK91" s="25" t="str">
        <f>IFERROR(INDEX('N04-S01'!$BE$18:$BE$199,2*(ROWS(AK$86:AK91)-1)+1),"")</f>
        <v/>
      </c>
      <c r="AL91" s="207"/>
      <c r="AM91" s="207"/>
      <c r="AN91" s="207"/>
      <c r="AO91">
        <f>IFERROR(INDEX('N04-S01'!$B$18:$B$199,2*(ROWS(AO$86:AO91)-1)+1),"")</f>
        <v>6</v>
      </c>
      <c r="AP91" s="189"/>
      <c r="AQ91">
        <f>IFERROR(INDEX('N04-S01'!$C$18:$C$199,2*(ROWS(AQ$86:AQ91)-1)+1),"")</f>
        <v>0</v>
      </c>
      <c r="AR91">
        <f>IFERROR(INDEX('N04-S01'!$L$18:$L$199,2*(ROWS(AR$86:AR91)-1)+1),"")</f>
        <v>0</v>
      </c>
      <c r="AS91">
        <f>IFERROR(INDEX('N04-S01'!$T$18:$T$199,2*(ROWS(AS$86:AS91)-1)+1),"")</f>
        <v>0</v>
      </c>
      <c r="AT91" s="13" t="str">
        <f>IFERROR(INDEX('N04-S01'!$AY$18:$AY$199,2*(ROWS(AT$86:AT91)-1)+1),"")</f>
        <v/>
      </c>
      <c r="AU91" s="13" t="str">
        <f>IFERROR(INDEX('N04-S01'!$AZ$18:$AZ$199,2*(ROWS(AU$86:AU91)-1)+1),"")</f>
        <v/>
      </c>
      <c r="AV91" t="str">
        <f>IFERROR(INDEX('N04-S01'!$BA$18:$BA$199,2*(ROWS(AV$86:AV91)-1)+1),"")</f>
        <v/>
      </c>
      <c r="AW91" t="str">
        <f>IFERROR(INDEX('N04-S01'!$BF$18:$BF$199,2*(ROWS(AW$86:AW91)-1)+1),"")</f>
        <v/>
      </c>
      <c r="AX91" t="s">
        <v>820</v>
      </c>
      <c r="AY91" s="170"/>
      <c r="AZ91" s="170"/>
      <c r="BA91" s="170"/>
      <c r="BB91" s="170"/>
      <c r="BC91" s="170"/>
      <c r="BD91" s="170"/>
      <c r="BE91" s="170"/>
      <c r="BF91" s="170"/>
      <c r="BG91" s="170"/>
      <c r="BH91" s="170"/>
      <c r="BI91" s="170"/>
      <c r="BJ91" s="170"/>
      <c r="BK91" s="170"/>
    </row>
    <row r="92" spans="1:63" ht="14.25" customHeight="1">
      <c r="A92" s="14">
        <f t="shared" si="12"/>
        <v>0</v>
      </c>
      <c r="B92" t="str">
        <f t="shared" si="13"/>
        <v/>
      </c>
      <c r="C92" t="str">
        <f>IFERROR(IF(INDEX('N04-S01'!$BO$18:$BO$199,2*(ROWS($C$86:C92)-1)+1)="","",INDEX('N04-S01'!$BO$18:$BO$199,2*(ROWS($C$86:C92)-1)+1)),"")</f>
        <v/>
      </c>
      <c r="D92" t="s">
        <v>50</v>
      </c>
      <c r="E92" t="s">
        <v>38</v>
      </c>
      <c r="F92" t="s">
        <v>50</v>
      </c>
      <c r="G92" t="str">
        <f>IFERROR(INDEX('N04-S01'!$BG$18:$BG$199,2*(ROWS(G$86:G92)-1)+1),"")</f>
        <v/>
      </c>
      <c r="H92" s="207"/>
      <c r="I92" s="189"/>
      <c r="J92" s="189"/>
      <c r="K92" s="189"/>
      <c r="L92" s="13" t="str">
        <f ca="1">IFERROR(ROUND(IF($AI92&lt;&gt;"","",INDEX('N04-S01'!$AE$18:$AE$199,2*(ROWS(L$86:L92)-1)+1)),2),"")</f>
        <v/>
      </c>
      <c r="N92" s="13" t="str">
        <f ca="1">IFERROR(ROUND(IF($AI92&lt;&gt;"","",INDEX('N04-S01'!$AH$18:$AH$199,2*(ROWS(N$86:N92)-1)+1)),2),"")</f>
        <v/>
      </c>
      <c r="O92" s="13" t="str">
        <f ca="1">IFERROR(ROUND(IF($AI92&lt;&gt;"","",INDEX('N04-S01'!$AB$18:$AB$199,2*(ROWS(O$86:O92)-1)+1)),2),"")</f>
        <v/>
      </c>
      <c r="P92" s="10" t="str">
        <f ca="1">IFERROR(IF(AI92&lt;&gt;"","",ROUND(INDEX('N04-S01'!$BB$18:$BB$199,2*(ROWS(P$86:P92)-1)+1),3)),"")</f>
        <v/>
      </c>
      <c r="Q92" s="10" t="str">
        <f ca="1">IFERROR(IF(AI92&lt;&gt;"","",ROUND(INDEX('N04-S01'!$BC$18:$BC$199,2*(ROWS(Q$86:Q92)-1)+1),3)),"")</f>
        <v/>
      </c>
      <c r="R92" s="207"/>
      <c r="S92" s="25" t="str">
        <f ca="1">IFERROR(IF(AI92&lt;&gt;"","",INDEX('N04-S01'!$AK$18:$AK$199,2*(ROWS(S$86:S92)-1)+1)),"")</f>
        <v/>
      </c>
      <c r="T92" s="31" t="str">
        <f ca="1">IFERROR(IF(AI92&lt;&gt;"","",INDEX('N04-S01'!$BI$18:$BI$199,2*(ROWS(T$86:T92)-1)+1)),"")</f>
        <v/>
      </c>
      <c r="U92" s="31" t="str">
        <f ca="1">IFERROR(IF(AI92&lt;&gt;"","",INDEX('N04-S01'!$BH$18:$BH$199,2*(ROWS(U$86:U92)-1)+1)),"")</f>
        <v/>
      </c>
      <c r="V92" s="13" t="str">
        <f ca="1">IFERROR(IF(AI92&lt;&gt;"","",INDEX('N04-S01'!$AN$18:$AN$199,2*(ROWS(V$86:V92)-1)+1)),"")</f>
        <v/>
      </c>
      <c r="W92" s="207"/>
      <c r="X92" s="207"/>
      <c r="Y92" s="13">
        <f ca="1">IFERROR(IF(AI92&lt;&gt;"",INDEX('N04-S01'!$AE$18:$AE$199,2*(ROWS(Y$86:Y92)-1)+1),""),"")</f>
        <v>0</v>
      </c>
      <c r="AA92" s="13" t="str">
        <f ca="1">IFERROR(IF($AI92&lt;&gt;"",INDEX('N04-S01'!$AH$18:$AH$199,2*(ROWS(AA$86:AA92)-1)+1),""),"")</f>
        <v/>
      </c>
      <c r="AB92" s="13">
        <f ca="1">IFERROR(IF($AI92&lt;&gt;"",INDEX('N04-S01'!$AB$18:$AB$199,2*(ROWS(AB$86:AB92)-1)+1),""),"")</f>
        <v>0</v>
      </c>
      <c r="AC92" s="10" t="str">
        <f ca="1">IFERROR(IF(AI92&lt;&gt;"",ROUND(INDEX('N04-S01'!$BB$18:$BB$199,2*(ROWS(AC$86:AC92)-1)+1),3),""),"")</f>
        <v/>
      </c>
      <c r="AD92" s="10" t="str">
        <f ca="1">IFERROR(IF(AI92&lt;&gt;"",ROUND(INDEX('N04-S01'!$BC$18:$BC$199,2*(ROWS(AD$86:AD92)-1)+1),3),""),"")</f>
        <v/>
      </c>
      <c r="AE92" s="207"/>
      <c r="AF92" s="25" t="str">
        <f ca="1">IFERROR(IF(AI92&lt;&gt;"",INDEX('N04-S01'!$AK$18:$AK$199,2*(ROWS(AF$86:AF92)-1)+1),""),"")</f>
        <v/>
      </c>
      <c r="AG92" s="31">
        <f ca="1">IFERROR(IF(AI92&lt;&gt;"",INDEX('N04-S01'!$BI$18:$BI$199,2*(ROWS(AG$86:AG92)-1)+1),""),"")</f>
        <v>0</v>
      </c>
      <c r="AH92" s="31" t="str">
        <f ca="1">IFERROR(IF(AI92&lt;&gt;"",INDEX('N04-S01'!$BH$18:$BH$199,2*(ROWS(AH$86:AH92)-1)+1),""),"")</f>
        <v/>
      </c>
      <c r="AI92" t="str">
        <f ca="1">IFERROR(INDEX('N04-S01'!$BQ$18:$BQ$199,2*(ROWS(AI$86:AI92)-1)+1),"")</f>
        <v>Submit for Review</v>
      </c>
      <c r="AJ92" s="25" t="str">
        <f>IFERROR(INDEX('N04-S01'!$BD$18:$BD$199,2*(ROWS(AJ$86:AJ92)-1)+1),"")</f>
        <v/>
      </c>
      <c r="AK92" s="25" t="str">
        <f>IFERROR(INDEX('N04-S01'!$BE$18:$BE$199,2*(ROWS(AK$86:AK92)-1)+1),"")</f>
        <v/>
      </c>
      <c r="AL92" s="207"/>
      <c r="AM92" s="207"/>
      <c r="AN92" s="207"/>
      <c r="AO92">
        <f>IFERROR(INDEX('N04-S01'!$B$18:$B$199,2*(ROWS(AO$86:AO92)-1)+1),"")</f>
        <v>7</v>
      </c>
      <c r="AP92" s="189"/>
      <c r="AQ92">
        <f>IFERROR(INDEX('N04-S01'!$C$18:$C$199,2*(ROWS(AQ$86:AQ92)-1)+1),"")</f>
        <v>0</v>
      </c>
      <c r="AR92">
        <f>IFERROR(INDEX('N04-S01'!$L$18:$L$199,2*(ROWS(AR$86:AR92)-1)+1),"")</f>
        <v>0</v>
      </c>
      <c r="AS92">
        <f>IFERROR(INDEX('N04-S01'!$T$18:$T$199,2*(ROWS(AS$86:AS92)-1)+1),"")</f>
        <v>0</v>
      </c>
      <c r="AT92" s="13" t="str">
        <f>IFERROR(INDEX('N04-S01'!$AY$18:$AY$199,2*(ROWS(AT$86:AT92)-1)+1),"")</f>
        <v/>
      </c>
      <c r="AU92" s="13" t="str">
        <f>IFERROR(INDEX('N04-S01'!$AZ$18:$AZ$199,2*(ROWS(AU$86:AU92)-1)+1),"")</f>
        <v/>
      </c>
      <c r="AV92" t="str">
        <f>IFERROR(INDEX('N04-S01'!$BA$18:$BA$199,2*(ROWS(AV$86:AV92)-1)+1),"")</f>
        <v/>
      </c>
      <c r="AW92" t="str">
        <f>IFERROR(INDEX('N04-S01'!$BF$18:$BF$199,2*(ROWS(AW$86:AW92)-1)+1),"")</f>
        <v/>
      </c>
      <c r="AX92" t="s">
        <v>820</v>
      </c>
      <c r="AY92" s="170"/>
      <c r="AZ92" s="170"/>
      <c r="BA92" s="170"/>
      <c r="BB92" s="170"/>
      <c r="BC92" s="170"/>
      <c r="BD92" s="170"/>
      <c r="BE92" s="170"/>
      <c r="BF92" s="170"/>
      <c r="BG92" s="170"/>
      <c r="BH92" s="170"/>
      <c r="BI92" s="170"/>
      <c r="BJ92" s="170"/>
      <c r="BK92" s="170"/>
    </row>
    <row r="93" spans="1:63" ht="14.25" customHeight="1">
      <c r="A93" s="14">
        <f t="shared" si="12"/>
        <v>0</v>
      </c>
      <c r="B93" t="str">
        <f t="shared" si="13"/>
        <v/>
      </c>
      <c r="C93" t="str">
        <f>IFERROR(IF(INDEX('N04-S01'!$BO$18:$BO$199,2*(ROWS($C$86:C93)-1)+1)="","",INDEX('N04-S01'!$BO$18:$BO$199,2*(ROWS($C$86:C93)-1)+1)),"")</f>
        <v/>
      </c>
      <c r="D93" t="s">
        <v>50</v>
      </c>
      <c r="E93" t="s">
        <v>38</v>
      </c>
      <c r="F93" t="s">
        <v>50</v>
      </c>
      <c r="G93" t="str">
        <f>IFERROR(INDEX('N04-S01'!$BG$18:$BG$199,2*(ROWS(G$86:G93)-1)+1),"")</f>
        <v/>
      </c>
      <c r="H93" s="207"/>
      <c r="I93" s="189"/>
      <c r="J93" s="189"/>
      <c r="K93" s="189"/>
      <c r="L93" s="13" t="str">
        <f ca="1">IFERROR(ROUND(IF($AI93&lt;&gt;"","",INDEX('N04-S01'!$AE$18:$AE$199,2*(ROWS(L$86:L93)-1)+1)),2),"")</f>
        <v/>
      </c>
      <c r="N93" s="13" t="str">
        <f ca="1">IFERROR(ROUND(IF($AI93&lt;&gt;"","",INDEX('N04-S01'!$AH$18:$AH$199,2*(ROWS(N$86:N93)-1)+1)),2),"")</f>
        <v/>
      </c>
      <c r="O93" s="13" t="str">
        <f ca="1">IFERROR(ROUND(IF($AI93&lt;&gt;"","",INDEX('N04-S01'!$AB$18:$AB$199,2*(ROWS(O$86:O93)-1)+1)),2),"")</f>
        <v/>
      </c>
      <c r="P93" s="10" t="str">
        <f ca="1">IFERROR(IF(AI93&lt;&gt;"","",ROUND(INDEX('N04-S01'!$BB$18:$BB$199,2*(ROWS(P$86:P93)-1)+1),3)),"")</f>
        <v/>
      </c>
      <c r="Q93" s="10" t="str">
        <f ca="1">IFERROR(IF(AI93&lt;&gt;"","",ROUND(INDEX('N04-S01'!$BC$18:$BC$199,2*(ROWS(Q$86:Q93)-1)+1),3)),"")</f>
        <v/>
      </c>
      <c r="R93" s="207"/>
      <c r="S93" s="25" t="str">
        <f ca="1">IFERROR(IF(AI93&lt;&gt;"","",INDEX('N04-S01'!$AK$18:$AK$199,2*(ROWS(S$86:S93)-1)+1)),"")</f>
        <v/>
      </c>
      <c r="T93" s="31" t="str">
        <f ca="1">IFERROR(IF(AI93&lt;&gt;"","",INDEX('N04-S01'!$BI$18:$BI$199,2*(ROWS(T$86:T93)-1)+1)),"")</f>
        <v/>
      </c>
      <c r="U93" s="31" t="str">
        <f ca="1">IFERROR(IF(AI93&lt;&gt;"","",INDEX('N04-S01'!$BH$18:$BH$199,2*(ROWS(U$86:U93)-1)+1)),"")</f>
        <v/>
      </c>
      <c r="V93" s="13" t="str">
        <f ca="1">IFERROR(IF(AI93&lt;&gt;"","",INDEX('N04-S01'!$AN$18:$AN$199,2*(ROWS(V$86:V93)-1)+1)),"")</f>
        <v/>
      </c>
      <c r="W93" s="207"/>
      <c r="X93" s="207"/>
      <c r="Y93" s="13">
        <f ca="1">IFERROR(IF(AI93&lt;&gt;"",INDEX('N04-S01'!$AE$18:$AE$199,2*(ROWS(Y$86:Y93)-1)+1),""),"")</f>
        <v>0</v>
      </c>
      <c r="AA93" s="13" t="str">
        <f ca="1">IFERROR(IF($AI93&lt;&gt;"",INDEX('N04-S01'!$AH$18:$AH$199,2*(ROWS(AA$86:AA93)-1)+1),""),"")</f>
        <v/>
      </c>
      <c r="AB93" s="13">
        <f ca="1">IFERROR(IF($AI93&lt;&gt;"",INDEX('N04-S01'!$AB$18:$AB$199,2*(ROWS(AB$86:AB93)-1)+1),""),"")</f>
        <v>0</v>
      </c>
      <c r="AC93" s="10" t="str">
        <f ca="1">IFERROR(IF(AI93&lt;&gt;"",ROUND(INDEX('N04-S01'!$BB$18:$BB$199,2*(ROWS(AC$86:AC93)-1)+1),3),""),"")</f>
        <v/>
      </c>
      <c r="AD93" s="10" t="str">
        <f ca="1">IFERROR(IF(AI93&lt;&gt;"",ROUND(INDEX('N04-S01'!$BC$18:$BC$199,2*(ROWS(AD$86:AD93)-1)+1),3),""),"")</f>
        <v/>
      </c>
      <c r="AE93" s="207"/>
      <c r="AF93" s="25" t="str">
        <f ca="1">IFERROR(IF(AI93&lt;&gt;"",INDEX('N04-S01'!$AK$18:$AK$199,2*(ROWS(AF$86:AF93)-1)+1),""),"")</f>
        <v/>
      </c>
      <c r="AG93" s="31">
        <f ca="1">IFERROR(IF(AI93&lt;&gt;"",INDEX('N04-S01'!$BI$18:$BI$199,2*(ROWS(AG$86:AG93)-1)+1),""),"")</f>
        <v>0</v>
      </c>
      <c r="AH93" s="31" t="str">
        <f ca="1">IFERROR(IF(AI93&lt;&gt;"",INDEX('N04-S01'!$BH$18:$BH$199,2*(ROWS(AH$86:AH93)-1)+1),""),"")</f>
        <v/>
      </c>
      <c r="AI93" t="str">
        <f ca="1">IFERROR(INDEX('N04-S01'!$BQ$18:$BQ$199,2*(ROWS(AI$86:AI93)-1)+1),"")</f>
        <v>Submit for Review</v>
      </c>
      <c r="AJ93" s="25" t="str">
        <f>IFERROR(INDEX('N04-S01'!$BD$18:$BD$199,2*(ROWS(AJ$86:AJ93)-1)+1),"")</f>
        <v/>
      </c>
      <c r="AK93" s="25" t="str">
        <f>IFERROR(INDEX('N04-S01'!$BE$18:$BE$199,2*(ROWS(AK$86:AK93)-1)+1),"")</f>
        <v/>
      </c>
      <c r="AL93" s="207"/>
      <c r="AM93" s="207"/>
      <c r="AN93" s="207"/>
      <c r="AO93">
        <f>IFERROR(INDEX('N04-S01'!$B$18:$B$199,2*(ROWS(AO$86:AO93)-1)+1),"")</f>
        <v>8</v>
      </c>
      <c r="AP93" s="189"/>
      <c r="AQ93">
        <f>IFERROR(INDEX('N04-S01'!$C$18:$C$199,2*(ROWS(AQ$86:AQ93)-1)+1),"")</f>
        <v>0</v>
      </c>
      <c r="AR93">
        <f>IFERROR(INDEX('N04-S01'!$L$18:$L$199,2*(ROWS(AR$86:AR93)-1)+1),"")</f>
        <v>0</v>
      </c>
      <c r="AS93">
        <f>IFERROR(INDEX('N04-S01'!$T$18:$T$199,2*(ROWS(AS$86:AS93)-1)+1),"")</f>
        <v>0</v>
      </c>
      <c r="AT93" s="13" t="str">
        <f>IFERROR(INDEX('N04-S01'!$AY$18:$AY$199,2*(ROWS(AT$86:AT93)-1)+1),"")</f>
        <v/>
      </c>
      <c r="AU93" s="13" t="str">
        <f>IFERROR(INDEX('N04-S01'!$AZ$18:$AZ$199,2*(ROWS(AU$86:AU93)-1)+1),"")</f>
        <v/>
      </c>
      <c r="AV93" t="str">
        <f>IFERROR(INDEX('N04-S01'!$BA$18:$BA$199,2*(ROWS(AV$86:AV93)-1)+1),"")</f>
        <v/>
      </c>
      <c r="AW93" t="str">
        <f>IFERROR(INDEX('N04-S01'!$BF$18:$BF$199,2*(ROWS(AW$86:AW93)-1)+1),"")</f>
        <v/>
      </c>
      <c r="AX93" t="s">
        <v>820</v>
      </c>
      <c r="AY93" s="170"/>
      <c r="AZ93" s="170"/>
      <c r="BA93" s="170"/>
      <c r="BB93" s="170"/>
      <c r="BC93" s="170"/>
      <c r="BD93" s="170"/>
      <c r="BE93" s="170"/>
      <c r="BF93" s="170"/>
      <c r="BG93" s="170"/>
      <c r="BH93" s="170"/>
      <c r="BI93" s="170"/>
      <c r="BJ93" s="170"/>
      <c r="BK93" s="170"/>
    </row>
    <row r="94" spans="1:63" ht="14.25" customHeight="1">
      <c r="A94" s="14">
        <f t="shared" si="12"/>
        <v>0</v>
      </c>
      <c r="B94" t="str">
        <f t="shared" si="13"/>
        <v/>
      </c>
      <c r="C94" t="str">
        <f>IFERROR(IF(INDEX('N04-S01'!$BO$18:$BO$199,2*(ROWS($C$86:C94)-1)+1)="","",INDEX('N04-S01'!$BO$18:$BO$199,2*(ROWS($C$86:C94)-1)+1)),"")</f>
        <v/>
      </c>
      <c r="D94" t="s">
        <v>50</v>
      </c>
      <c r="E94" t="s">
        <v>38</v>
      </c>
      <c r="F94" t="s">
        <v>50</v>
      </c>
      <c r="G94" t="str">
        <f>IFERROR(INDEX('N04-S01'!$BG$18:$BG$199,2*(ROWS(G$86:G94)-1)+1),"")</f>
        <v/>
      </c>
      <c r="H94" s="207"/>
      <c r="I94" s="189"/>
      <c r="J94" s="189"/>
      <c r="K94" s="189"/>
      <c r="L94" s="13" t="str">
        <f ca="1">IFERROR(ROUND(IF($AI94&lt;&gt;"","",INDEX('N04-S01'!$AE$18:$AE$199,2*(ROWS(L$86:L94)-1)+1)),2),"")</f>
        <v/>
      </c>
      <c r="N94" s="13" t="str">
        <f ca="1">IFERROR(ROUND(IF($AI94&lt;&gt;"","",INDEX('N04-S01'!$AH$18:$AH$199,2*(ROWS(N$86:N94)-1)+1)),2),"")</f>
        <v/>
      </c>
      <c r="O94" s="13" t="str">
        <f ca="1">IFERROR(ROUND(IF($AI94&lt;&gt;"","",INDEX('N04-S01'!$AB$18:$AB$199,2*(ROWS(O$86:O94)-1)+1)),2),"")</f>
        <v/>
      </c>
      <c r="P94" s="10" t="str">
        <f ca="1">IFERROR(IF(AI94&lt;&gt;"","",ROUND(INDEX('N04-S01'!$BB$18:$BB$199,2*(ROWS(P$86:P94)-1)+1),3)),"")</f>
        <v/>
      </c>
      <c r="Q94" s="10" t="str">
        <f ca="1">IFERROR(IF(AI94&lt;&gt;"","",ROUND(INDEX('N04-S01'!$BC$18:$BC$199,2*(ROWS(Q$86:Q94)-1)+1),3)),"")</f>
        <v/>
      </c>
      <c r="R94" s="207"/>
      <c r="S94" s="25" t="str">
        <f ca="1">IFERROR(IF(AI94&lt;&gt;"","",INDEX('N04-S01'!$AK$18:$AK$199,2*(ROWS(S$86:S94)-1)+1)),"")</f>
        <v/>
      </c>
      <c r="T94" s="31" t="str">
        <f ca="1">IFERROR(IF(AI94&lt;&gt;"","",INDEX('N04-S01'!$BI$18:$BI$199,2*(ROWS(T$86:T94)-1)+1)),"")</f>
        <v/>
      </c>
      <c r="U94" s="31" t="str">
        <f ca="1">IFERROR(IF(AI94&lt;&gt;"","",INDEX('N04-S01'!$BH$18:$BH$199,2*(ROWS(U$86:U94)-1)+1)),"")</f>
        <v/>
      </c>
      <c r="V94" s="13" t="str">
        <f ca="1">IFERROR(IF(AI94&lt;&gt;"","",INDEX('N04-S01'!$AN$18:$AN$199,2*(ROWS(V$86:V94)-1)+1)),"")</f>
        <v/>
      </c>
      <c r="W94" s="207"/>
      <c r="X94" s="207"/>
      <c r="Y94" s="13">
        <f ca="1">IFERROR(IF(AI94&lt;&gt;"",INDEX('N04-S01'!$AE$18:$AE$199,2*(ROWS(Y$86:Y94)-1)+1),""),"")</f>
        <v>0</v>
      </c>
      <c r="AA94" s="13" t="str">
        <f ca="1">IFERROR(IF($AI94&lt;&gt;"",INDEX('N04-S01'!$AH$18:$AH$199,2*(ROWS(AA$86:AA94)-1)+1),""),"")</f>
        <v/>
      </c>
      <c r="AB94" s="13">
        <f ca="1">IFERROR(IF($AI94&lt;&gt;"",INDEX('N04-S01'!$AB$18:$AB$199,2*(ROWS(AB$86:AB94)-1)+1),""),"")</f>
        <v>0</v>
      </c>
      <c r="AC94" s="10" t="str">
        <f ca="1">IFERROR(IF(AI94&lt;&gt;"",ROUND(INDEX('N04-S01'!$BB$18:$BB$199,2*(ROWS(AC$86:AC94)-1)+1),3),""),"")</f>
        <v/>
      </c>
      <c r="AD94" s="10" t="str">
        <f ca="1">IFERROR(IF(AI94&lt;&gt;"",ROUND(INDEX('N04-S01'!$BC$18:$BC$199,2*(ROWS(AD$86:AD94)-1)+1),3),""),"")</f>
        <v/>
      </c>
      <c r="AE94" s="207"/>
      <c r="AF94" s="25" t="str">
        <f ca="1">IFERROR(IF(AI94&lt;&gt;"",INDEX('N04-S01'!$AK$18:$AK$199,2*(ROWS(AF$86:AF94)-1)+1),""),"")</f>
        <v/>
      </c>
      <c r="AG94" s="31">
        <f ca="1">IFERROR(IF(AI94&lt;&gt;"",INDEX('N04-S01'!$BI$18:$BI$199,2*(ROWS(AG$86:AG94)-1)+1),""),"")</f>
        <v>0</v>
      </c>
      <c r="AH94" s="31" t="str">
        <f ca="1">IFERROR(IF(AI94&lt;&gt;"",INDEX('N04-S01'!$BH$18:$BH$199,2*(ROWS(AH$86:AH94)-1)+1),""),"")</f>
        <v/>
      </c>
      <c r="AI94" t="str">
        <f ca="1">IFERROR(INDEX('N04-S01'!$BQ$18:$BQ$199,2*(ROWS(AI$86:AI94)-1)+1),"")</f>
        <v>Submit for Review</v>
      </c>
      <c r="AJ94" s="25" t="str">
        <f>IFERROR(INDEX('N04-S01'!$BD$18:$BD$199,2*(ROWS(AJ$86:AJ94)-1)+1),"")</f>
        <v/>
      </c>
      <c r="AK94" s="25" t="str">
        <f>IFERROR(INDEX('N04-S01'!$BE$18:$BE$199,2*(ROWS(AK$86:AK94)-1)+1),"")</f>
        <v/>
      </c>
      <c r="AL94" s="207"/>
      <c r="AM94" s="207"/>
      <c r="AN94" s="207"/>
      <c r="AO94">
        <f>IFERROR(INDEX('N04-S01'!$B$18:$B$199,2*(ROWS(AO$86:AO94)-1)+1),"")</f>
        <v>9</v>
      </c>
      <c r="AP94" s="189"/>
      <c r="AQ94">
        <f>IFERROR(INDEX('N04-S01'!$C$18:$C$199,2*(ROWS(AQ$86:AQ94)-1)+1),"")</f>
        <v>0</v>
      </c>
      <c r="AR94">
        <f>IFERROR(INDEX('N04-S01'!$L$18:$L$199,2*(ROWS(AR$86:AR94)-1)+1),"")</f>
        <v>0</v>
      </c>
      <c r="AS94">
        <f>IFERROR(INDEX('N04-S01'!$T$18:$T$199,2*(ROWS(AS$86:AS94)-1)+1),"")</f>
        <v>0</v>
      </c>
      <c r="AT94" s="13" t="str">
        <f>IFERROR(INDEX('N04-S01'!$AY$18:$AY$199,2*(ROWS(AT$86:AT94)-1)+1),"")</f>
        <v/>
      </c>
      <c r="AU94" s="13" t="str">
        <f>IFERROR(INDEX('N04-S01'!$AZ$18:$AZ$199,2*(ROWS(AU$86:AU94)-1)+1),"")</f>
        <v/>
      </c>
      <c r="AV94" t="str">
        <f>IFERROR(INDEX('N04-S01'!$BA$18:$BA$199,2*(ROWS(AV$86:AV94)-1)+1),"")</f>
        <v/>
      </c>
      <c r="AW94" t="str">
        <f>IFERROR(INDEX('N04-S01'!$BF$18:$BF$199,2*(ROWS(AW$86:AW94)-1)+1),"")</f>
        <v/>
      </c>
      <c r="AX94" t="s">
        <v>820</v>
      </c>
      <c r="AY94" s="170"/>
      <c r="AZ94" s="170"/>
      <c r="BA94" s="170"/>
      <c r="BB94" s="170"/>
      <c r="BC94" s="170"/>
      <c r="BD94" s="170"/>
      <c r="BE94" s="170"/>
      <c r="BF94" s="170"/>
      <c r="BG94" s="170"/>
      <c r="BH94" s="170"/>
      <c r="BI94" s="170"/>
      <c r="BJ94" s="170"/>
      <c r="BK94" s="170"/>
    </row>
    <row r="95" spans="1:63" ht="14.25" customHeight="1">
      <c r="A95" s="14">
        <f t="shared" si="12"/>
        <v>0</v>
      </c>
      <c r="B95" t="str">
        <f t="shared" si="13"/>
        <v/>
      </c>
      <c r="C95" t="str">
        <f>IFERROR(IF(INDEX('N04-S01'!$BO$18:$BO$199,2*(ROWS($C$86:C95)-1)+1)="","",INDEX('N04-S01'!$BO$18:$BO$199,2*(ROWS($C$86:C95)-1)+1)),"")</f>
        <v/>
      </c>
      <c r="D95" t="s">
        <v>50</v>
      </c>
      <c r="E95" t="s">
        <v>38</v>
      </c>
      <c r="F95" t="s">
        <v>50</v>
      </c>
      <c r="G95" t="str">
        <f>IFERROR(INDEX('N04-S01'!$BG$18:$BG$199,2*(ROWS(G$86:G95)-1)+1),"")</f>
        <v/>
      </c>
      <c r="H95" s="207"/>
      <c r="I95" s="189"/>
      <c r="J95" s="189"/>
      <c r="K95" s="189"/>
      <c r="L95" s="13" t="str">
        <f ca="1">IFERROR(ROUND(IF($AI95&lt;&gt;"","",INDEX('N04-S01'!$AE$18:$AE$199,2*(ROWS(L$86:L95)-1)+1)),2),"")</f>
        <v/>
      </c>
      <c r="N95" s="13" t="str">
        <f ca="1">IFERROR(ROUND(IF($AI95&lt;&gt;"","",INDEX('N04-S01'!$AH$18:$AH$199,2*(ROWS(N$86:N95)-1)+1)),2),"")</f>
        <v/>
      </c>
      <c r="O95" s="13" t="str">
        <f ca="1">IFERROR(ROUND(IF($AI95&lt;&gt;"","",INDEX('N04-S01'!$AB$18:$AB$199,2*(ROWS(O$86:O95)-1)+1)),2),"")</f>
        <v/>
      </c>
      <c r="P95" s="10" t="str">
        <f ca="1">IFERROR(IF(AI95&lt;&gt;"","",ROUND(INDEX('N04-S01'!$BB$18:$BB$199,2*(ROWS(P$86:P95)-1)+1),3)),"")</f>
        <v/>
      </c>
      <c r="Q95" s="10" t="str">
        <f ca="1">IFERROR(IF(AI95&lt;&gt;"","",ROUND(INDEX('N04-S01'!$BC$18:$BC$199,2*(ROWS(Q$86:Q95)-1)+1),3)),"")</f>
        <v/>
      </c>
      <c r="R95" s="207"/>
      <c r="S95" s="25" t="str">
        <f ca="1">IFERROR(IF(AI95&lt;&gt;"","",INDEX('N04-S01'!$AK$18:$AK$199,2*(ROWS(S$86:S95)-1)+1)),"")</f>
        <v/>
      </c>
      <c r="T95" s="31" t="str">
        <f ca="1">IFERROR(IF(AI95&lt;&gt;"","",INDEX('N04-S01'!$BI$18:$BI$199,2*(ROWS(T$86:T95)-1)+1)),"")</f>
        <v/>
      </c>
      <c r="U95" s="31" t="str">
        <f ca="1">IFERROR(IF(AI95&lt;&gt;"","",INDEX('N04-S01'!$BH$18:$BH$199,2*(ROWS(U$86:U95)-1)+1)),"")</f>
        <v/>
      </c>
      <c r="V95" s="13" t="str">
        <f ca="1">IFERROR(IF(AI95&lt;&gt;"","",INDEX('N04-S01'!$AN$18:$AN$199,2*(ROWS(V$86:V95)-1)+1)),"")</f>
        <v/>
      </c>
      <c r="W95" s="207"/>
      <c r="X95" s="207"/>
      <c r="Y95" s="13">
        <f ca="1">IFERROR(IF(AI95&lt;&gt;"",INDEX('N04-S01'!$AE$18:$AE$199,2*(ROWS(Y$86:Y95)-1)+1),""),"")</f>
        <v>0</v>
      </c>
      <c r="AA95" s="13" t="str">
        <f ca="1">IFERROR(IF($AI95&lt;&gt;"",INDEX('N04-S01'!$AH$18:$AH$199,2*(ROWS(AA$86:AA95)-1)+1),""),"")</f>
        <v/>
      </c>
      <c r="AB95" s="13">
        <f ca="1">IFERROR(IF($AI95&lt;&gt;"",INDEX('N04-S01'!$AB$18:$AB$199,2*(ROWS(AB$86:AB95)-1)+1),""),"")</f>
        <v>0</v>
      </c>
      <c r="AC95" s="10" t="str">
        <f ca="1">IFERROR(IF(AI95&lt;&gt;"",ROUND(INDEX('N04-S01'!$BB$18:$BB$199,2*(ROWS(AC$86:AC95)-1)+1),3),""),"")</f>
        <v/>
      </c>
      <c r="AD95" s="10" t="str">
        <f ca="1">IFERROR(IF(AI95&lt;&gt;"",ROUND(INDEX('N04-S01'!$BC$18:$BC$199,2*(ROWS(AD$86:AD95)-1)+1),3),""),"")</f>
        <v/>
      </c>
      <c r="AE95" s="207"/>
      <c r="AF95" s="25" t="str">
        <f ca="1">IFERROR(IF(AI95&lt;&gt;"",INDEX('N04-S01'!$AK$18:$AK$199,2*(ROWS(AF$86:AF95)-1)+1),""),"")</f>
        <v/>
      </c>
      <c r="AG95" s="31">
        <f ca="1">IFERROR(IF(AI95&lt;&gt;"",INDEX('N04-S01'!$BI$18:$BI$199,2*(ROWS(AG$86:AG95)-1)+1),""),"")</f>
        <v>0</v>
      </c>
      <c r="AH95" s="31" t="str">
        <f ca="1">IFERROR(IF(AI95&lt;&gt;"",INDEX('N04-S01'!$BH$18:$BH$199,2*(ROWS(AH$86:AH95)-1)+1),""),"")</f>
        <v/>
      </c>
      <c r="AI95" t="str">
        <f ca="1">IFERROR(INDEX('N04-S01'!$BQ$18:$BQ$199,2*(ROWS(AI$86:AI95)-1)+1),"")</f>
        <v>Submit for Review</v>
      </c>
      <c r="AJ95" s="25" t="str">
        <f>IFERROR(INDEX('N04-S01'!$BD$18:$BD$199,2*(ROWS(AJ$86:AJ95)-1)+1),"")</f>
        <v/>
      </c>
      <c r="AK95" s="25" t="str">
        <f>IFERROR(INDEX('N04-S01'!$BE$18:$BE$199,2*(ROWS(AK$86:AK95)-1)+1),"")</f>
        <v/>
      </c>
      <c r="AL95" s="207"/>
      <c r="AM95" s="207"/>
      <c r="AN95" s="207"/>
      <c r="AO95">
        <f>IFERROR(INDEX('N04-S01'!$B$18:$B$199,2*(ROWS(AO$86:AO95)-1)+1),"")</f>
        <v>10</v>
      </c>
      <c r="AP95" s="189"/>
      <c r="AQ95">
        <f>IFERROR(INDEX('N04-S01'!$C$18:$C$199,2*(ROWS(AQ$86:AQ95)-1)+1),"")</f>
        <v>0</v>
      </c>
      <c r="AR95">
        <f>IFERROR(INDEX('N04-S01'!$L$18:$L$199,2*(ROWS(AR$86:AR95)-1)+1),"")</f>
        <v>0</v>
      </c>
      <c r="AS95">
        <f>IFERROR(INDEX('N04-S01'!$T$18:$T$199,2*(ROWS(AS$86:AS95)-1)+1),"")</f>
        <v>0</v>
      </c>
      <c r="AT95" s="13" t="str">
        <f>IFERROR(INDEX('N04-S01'!$AY$18:$AY$199,2*(ROWS(AT$86:AT95)-1)+1),"")</f>
        <v/>
      </c>
      <c r="AU95" s="13" t="str">
        <f>IFERROR(INDEX('N04-S01'!$AZ$18:$AZ$199,2*(ROWS(AU$86:AU95)-1)+1),"")</f>
        <v/>
      </c>
      <c r="AV95" t="str">
        <f>IFERROR(INDEX('N04-S01'!$BA$18:$BA$199,2*(ROWS(AV$86:AV95)-1)+1),"")</f>
        <v/>
      </c>
      <c r="AW95" t="str">
        <f>IFERROR(INDEX('N04-S01'!$BF$18:$BF$199,2*(ROWS(AW$86:AW95)-1)+1),"")</f>
        <v/>
      </c>
      <c r="AX95" t="s">
        <v>820</v>
      </c>
      <c r="AY95" s="170"/>
      <c r="AZ95" s="170"/>
      <c r="BA95" s="170"/>
      <c r="BB95" s="170"/>
      <c r="BC95" s="170"/>
      <c r="BD95" s="170"/>
      <c r="BE95" s="170"/>
      <c r="BF95" s="170"/>
      <c r="BG95" s="170"/>
      <c r="BH95" s="170"/>
      <c r="BI95" s="170"/>
      <c r="BJ95" s="170"/>
      <c r="BK95" s="170"/>
    </row>
    <row r="96" spans="1:63" ht="14.25" customHeight="1">
      <c r="A96" s="14">
        <f t="shared" si="12"/>
        <v>0</v>
      </c>
      <c r="B96" t="str">
        <f t="shared" si="13"/>
        <v/>
      </c>
      <c r="C96" t="str">
        <f>IFERROR(IF(INDEX('N04-S01'!$BO$18:$BO$199,2*(ROWS($C$86:C96)-1)+1)="","",INDEX('N04-S01'!$BO$18:$BO$199,2*(ROWS($C$86:C96)-1)+1)),"")</f>
        <v/>
      </c>
      <c r="D96" t="s">
        <v>50</v>
      </c>
      <c r="E96" t="s">
        <v>38</v>
      </c>
      <c r="F96" t="s">
        <v>50</v>
      </c>
      <c r="G96">
        <f>IFERROR(INDEX('N04-S01'!$BG$18:$BG$199,2*(ROWS(G$86:G96)-1)+1),"")</f>
        <v>0</v>
      </c>
      <c r="H96" s="207"/>
      <c r="I96" s="189"/>
      <c r="J96" s="189"/>
      <c r="K96" s="189"/>
      <c r="L96" s="13" t="str">
        <f>IFERROR(ROUND(IF($AI96&lt;&gt;"","",INDEX('N04-S01'!$AE$18:$AE$199,2*(ROWS(L$86:L96)-1)+1)),2),"")</f>
        <v/>
      </c>
      <c r="N96" s="13" t="str">
        <f>IFERROR(ROUND(IF($AI96&lt;&gt;"","",INDEX('N04-S01'!$AH$18:$AH$199,2*(ROWS(N$86:N96)-1)+1)),2),"")</f>
        <v/>
      </c>
      <c r="O96" s="13" t="str">
        <f>IFERROR(ROUND(IF($AI96&lt;&gt;"","",INDEX('N04-S01'!$AB$18:$AB$199,2*(ROWS(O$86:O96)-1)+1)),2),"")</f>
        <v/>
      </c>
      <c r="P96" s="10" t="str">
        <f>IFERROR(IF(AI96&lt;&gt;"","",ROUND(INDEX('N04-S01'!$BB$18:$BB$199,2*(ROWS(P$86:P96)-1)+1),3)),"")</f>
        <v/>
      </c>
      <c r="Q96" s="10" t="str">
        <f>IFERROR(IF(AI96&lt;&gt;"","",ROUND(INDEX('N04-S01'!$BC$18:$BC$199,2*(ROWS(Q$86:Q96)-1)+1),3)),"")</f>
        <v/>
      </c>
      <c r="R96" s="207"/>
      <c r="S96" s="25" t="str">
        <f>IFERROR(IF(AI96&lt;&gt;"","",INDEX('N04-S01'!$AK$18:$AK$199,2*(ROWS(S$86:S96)-1)+1)),"")</f>
        <v/>
      </c>
      <c r="T96" s="31" t="str">
        <f>IFERROR(IF(AI96&lt;&gt;"","",INDEX('N04-S01'!$BI$18:$BI$199,2*(ROWS(T$86:T96)-1)+1)),"")</f>
        <v/>
      </c>
      <c r="U96" s="31" t="str">
        <f>IFERROR(IF(AI96&lt;&gt;"","",INDEX('N04-S01'!$BH$18:$BH$199,2*(ROWS(U$86:U96)-1)+1)),"")</f>
        <v/>
      </c>
      <c r="V96" s="13" t="str">
        <f>IFERROR(IF(AI96&lt;&gt;"","",INDEX('N04-S01'!$AN$18:$AN$199,2*(ROWS(V$86:V96)-1)+1)),"")</f>
        <v/>
      </c>
      <c r="W96" s="207"/>
      <c r="X96" s="207"/>
      <c r="Y96" s="13">
        <f>IFERROR(IF(AI96&lt;&gt;"",INDEX('N04-S01'!$AE$18:$AE$199,2*(ROWS(Y$86:Y96)-1)+1),""),"")</f>
        <v>0</v>
      </c>
      <c r="AA96" s="13">
        <f>IFERROR(IF($AI96&lt;&gt;"",INDEX('N04-S01'!$AH$18:$AH$199,2*(ROWS(AA$86:AA96)-1)+1),""),"")</f>
        <v>0</v>
      </c>
      <c r="AB96" s="13">
        <f>IFERROR(IF($AI96&lt;&gt;"",INDEX('N04-S01'!$AB$18:$AB$199,2*(ROWS(AB$86:AB96)-1)+1),""),"")</f>
        <v>0</v>
      </c>
      <c r="AC96" s="10">
        <f>IFERROR(IF(AI96&lt;&gt;"",ROUND(INDEX('N04-S01'!$BB$18:$BB$199,2*(ROWS(AC$86:AC96)-1)+1),3),""),"")</f>
        <v>0</v>
      </c>
      <c r="AD96" s="10">
        <f>IFERROR(IF(AI96&lt;&gt;"",ROUND(INDEX('N04-S01'!$BC$18:$BC$199,2*(ROWS(AD$86:AD96)-1)+1),3),""),"")</f>
        <v>0</v>
      </c>
      <c r="AE96" s="207"/>
      <c r="AF96" s="25">
        <f>IFERROR(IF(AI96&lt;&gt;"",INDEX('N04-S01'!$AK$18:$AK$199,2*(ROWS(AF$86:AF96)-1)+1),""),"")</f>
        <v>0</v>
      </c>
      <c r="AG96" s="31">
        <f>IFERROR(IF(AI96&lt;&gt;"",INDEX('N04-S01'!$BI$18:$BI$199,2*(ROWS(AG$86:AG96)-1)+1),""),"")</f>
        <v>0</v>
      </c>
      <c r="AH96" s="31">
        <f>IFERROR(IF(AI96&lt;&gt;"",INDEX('N04-S01'!$BH$18:$BH$199,2*(ROWS(AH$86:AH96)-1)+1),""),"")</f>
        <v>0</v>
      </c>
      <c r="AI96">
        <f>IFERROR(INDEX('N04-S01'!$BQ$18:$BQ$199,2*(ROWS(AI$86:AI96)-1)+1),"")</f>
        <v>0</v>
      </c>
      <c r="AJ96" s="25">
        <f>IFERROR(INDEX('N04-S01'!$BD$18:$BD$199,2*(ROWS(AJ$86:AJ96)-1)+1),"")</f>
        <v>0</v>
      </c>
      <c r="AK96" s="25">
        <f>IFERROR(INDEX('N04-S01'!$BE$18:$BE$199,2*(ROWS(AK$86:AK96)-1)+1),"")</f>
        <v>0</v>
      </c>
      <c r="AL96" s="207"/>
      <c r="AM96" s="207"/>
      <c r="AN96" s="207"/>
      <c r="AO96">
        <f>IFERROR(INDEX('N04-S01'!$B$18:$B$199,2*(ROWS(AO$86:AO96)-1)+1),"")</f>
        <v>0</v>
      </c>
      <c r="AP96" s="189"/>
      <c r="AQ96">
        <f>IFERROR(INDEX('N04-S01'!$C$18:$C$199,2*(ROWS(AQ$86:AQ96)-1)+1),"")</f>
        <v>0</v>
      </c>
      <c r="AR96">
        <f>IFERROR(INDEX('N04-S01'!$L$18:$L$199,2*(ROWS(AR$86:AR96)-1)+1),"")</f>
        <v>0</v>
      </c>
      <c r="AS96">
        <f>IFERROR(INDEX('N04-S01'!$T$18:$T$199,2*(ROWS(AS$86:AS96)-1)+1),"")</f>
        <v>0</v>
      </c>
      <c r="AT96" s="13">
        <f>IFERROR(INDEX('N04-S01'!$AY$18:$AY$199,2*(ROWS(AT$86:AT96)-1)+1),"")</f>
        <v>0</v>
      </c>
      <c r="AU96" s="13">
        <f>IFERROR(INDEX('N04-S01'!$AZ$18:$AZ$199,2*(ROWS(AU$86:AU96)-1)+1),"")</f>
        <v>0</v>
      </c>
      <c r="AV96">
        <f>IFERROR(INDEX('N04-S01'!$BA$18:$BA$199,2*(ROWS(AV$86:AV96)-1)+1),"")</f>
        <v>0</v>
      </c>
      <c r="AW96">
        <f>IFERROR(INDEX('N04-S01'!$BF$18:$BF$199,2*(ROWS(AW$86:AW96)-1)+1),"")</f>
        <v>0</v>
      </c>
      <c r="AX96" t="s">
        <v>820</v>
      </c>
      <c r="AY96" s="170"/>
      <c r="AZ96" s="170"/>
      <c r="BA96" s="170"/>
      <c r="BB96" s="170"/>
      <c r="BC96" s="170"/>
      <c r="BD96" s="170"/>
      <c r="BE96" s="170"/>
      <c r="BF96" s="170"/>
      <c r="BG96" s="170"/>
      <c r="BH96" s="170"/>
      <c r="BI96" s="170"/>
      <c r="BJ96" s="170"/>
      <c r="BK96" s="170"/>
    </row>
    <row r="97" spans="1:63" ht="14.25" customHeight="1">
      <c r="A97" s="14">
        <f t="shared" si="12"/>
        <v>0</v>
      </c>
      <c r="B97" t="str">
        <f t="shared" si="13"/>
        <v/>
      </c>
      <c r="C97" t="str">
        <f>IFERROR(IF(INDEX('N04-S01'!$BO$18:$BO$199,2*(ROWS($C$86:C97)-1)+1)="","",INDEX('N04-S01'!$BO$18:$BO$199,2*(ROWS($C$86:C97)-1)+1)),"")</f>
        <v/>
      </c>
      <c r="D97" t="s">
        <v>50</v>
      </c>
      <c r="E97" t="s">
        <v>38</v>
      </c>
      <c r="F97" t="s">
        <v>50</v>
      </c>
      <c r="G97">
        <f>IFERROR(INDEX('N04-S01'!$BG$18:$BG$199,2*(ROWS(G$86:G97)-1)+1),"")</f>
        <v>0</v>
      </c>
      <c r="H97" s="207"/>
      <c r="I97" s="189"/>
      <c r="J97" s="189"/>
      <c r="K97" s="189"/>
      <c r="L97" s="13" t="str">
        <f>IFERROR(ROUND(IF($AI97&lt;&gt;"","",INDEX('N04-S01'!$AE$18:$AE$199,2*(ROWS(L$86:L97)-1)+1)),2),"")</f>
        <v/>
      </c>
      <c r="N97" s="13" t="str">
        <f>IFERROR(ROUND(IF($AI97&lt;&gt;"","",INDEX('N04-S01'!$AH$18:$AH$199,2*(ROWS(N$86:N97)-1)+1)),2),"")</f>
        <v/>
      </c>
      <c r="O97" s="13" t="str">
        <f>IFERROR(ROUND(IF($AI97&lt;&gt;"","",INDEX('N04-S01'!$AB$18:$AB$199,2*(ROWS(O$86:O97)-1)+1)),2),"")</f>
        <v/>
      </c>
      <c r="P97" s="10" t="str">
        <f>IFERROR(IF(AI97&lt;&gt;"","",ROUND(INDEX('N04-S01'!$BB$18:$BB$199,2*(ROWS(P$86:P97)-1)+1),3)),"")</f>
        <v/>
      </c>
      <c r="Q97" s="10" t="str">
        <f>IFERROR(IF(AI97&lt;&gt;"","",ROUND(INDEX('N04-S01'!$BC$18:$BC$199,2*(ROWS(Q$86:Q97)-1)+1),3)),"")</f>
        <v/>
      </c>
      <c r="R97" s="207"/>
      <c r="S97" s="25" t="str">
        <f>IFERROR(IF(AI97&lt;&gt;"","",INDEX('N04-S01'!$AK$18:$AK$199,2*(ROWS(S$86:S97)-1)+1)),"")</f>
        <v/>
      </c>
      <c r="T97" s="31" t="str">
        <f>IFERROR(IF(AI97&lt;&gt;"","",INDEX('N04-S01'!$BI$18:$BI$199,2*(ROWS(T$86:T97)-1)+1)),"")</f>
        <v/>
      </c>
      <c r="U97" s="31" t="str">
        <f>IFERROR(IF(AI97&lt;&gt;"","",INDEX('N04-S01'!$BH$18:$BH$199,2*(ROWS(U$86:U97)-1)+1)),"")</f>
        <v/>
      </c>
      <c r="V97" s="13" t="str">
        <f>IFERROR(IF(AI97&lt;&gt;"","",INDEX('N04-S01'!$AN$18:$AN$199,2*(ROWS(V$86:V97)-1)+1)),"")</f>
        <v/>
      </c>
      <c r="W97" s="207"/>
      <c r="X97" s="207"/>
      <c r="Y97" s="13">
        <f>IFERROR(IF(AI97&lt;&gt;"",INDEX('N04-S01'!$AE$18:$AE$199,2*(ROWS(Y$86:Y97)-1)+1),""),"")</f>
        <v>0</v>
      </c>
      <c r="AA97" s="13">
        <f>IFERROR(IF($AI97&lt;&gt;"",INDEX('N04-S01'!$AH$18:$AH$199,2*(ROWS(AA$86:AA97)-1)+1),""),"")</f>
        <v>0</v>
      </c>
      <c r="AB97" s="13">
        <f>IFERROR(IF($AI97&lt;&gt;"",INDEX('N04-S01'!$AB$18:$AB$199,2*(ROWS(AB$86:AB97)-1)+1),""),"")</f>
        <v>0</v>
      </c>
      <c r="AC97" s="10">
        <f>IFERROR(IF(AI97&lt;&gt;"",ROUND(INDEX('N04-S01'!$BB$18:$BB$199,2*(ROWS(AC$86:AC97)-1)+1),3),""),"")</f>
        <v>0</v>
      </c>
      <c r="AD97" s="10">
        <f>IFERROR(IF(AI97&lt;&gt;"",ROUND(INDEX('N04-S01'!$BC$18:$BC$199,2*(ROWS(AD$86:AD97)-1)+1),3),""),"")</f>
        <v>0</v>
      </c>
      <c r="AE97" s="207"/>
      <c r="AF97" s="25">
        <f>IFERROR(IF(AI97&lt;&gt;"",INDEX('N04-S01'!$AK$18:$AK$199,2*(ROWS(AF$86:AF97)-1)+1),""),"")</f>
        <v>0</v>
      </c>
      <c r="AG97" s="31">
        <f>IFERROR(IF(AI97&lt;&gt;"",INDEX('N04-S01'!$BI$18:$BI$199,2*(ROWS(AG$86:AG97)-1)+1),""),"")</f>
        <v>0</v>
      </c>
      <c r="AH97" s="31">
        <f>IFERROR(IF(AI97&lt;&gt;"",INDEX('N04-S01'!$BH$18:$BH$199,2*(ROWS(AH$86:AH97)-1)+1),""),"")</f>
        <v>0</v>
      </c>
      <c r="AI97">
        <f>IFERROR(INDEX('N04-S01'!$BQ$18:$BQ$199,2*(ROWS(AI$86:AI97)-1)+1),"")</f>
        <v>0</v>
      </c>
      <c r="AJ97" s="25">
        <f>IFERROR(INDEX('N04-S01'!$BD$18:$BD$199,2*(ROWS(AJ$86:AJ97)-1)+1),"")</f>
        <v>0</v>
      </c>
      <c r="AK97" s="25">
        <f>IFERROR(INDEX('N04-S01'!$BE$18:$BE$199,2*(ROWS(AK$86:AK97)-1)+1),"")</f>
        <v>0</v>
      </c>
      <c r="AL97" s="207"/>
      <c r="AM97" s="207"/>
      <c r="AN97" s="207"/>
      <c r="AO97">
        <f>IFERROR(INDEX('N04-S01'!$B$18:$B$199,2*(ROWS(AO$86:AO97)-1)+1),"")</f>
        <v>0</v>
      </c>
      <c r="AP97" s="189"/>
      <c r="AQ97">
        <f>IFERROR(INDEX('N04-S01'!$C$18:$C$199,2*(ROWS(AQ$86:AQ97)-1)+1),"")</f>
        <v>0</v>
      </c>
      <c r="AR97">
        <f>IFERROR(INDEX('N04-S01'!$L$18:$L$199,2*(ROWS(AR$86:AR97)-1)+1),"")</f>
        <v>0</v>
      </c>
      <c r="AS97">
        <f>IFERROR(INDEX('N04-S01'!$T$18:$T$199,2*(ROWS(AS$86:AS97)-1)+1),"")</f>
        <v>0</v>
      </c>
      <c r="AT97" s="13">
        <f>IFERROR(INDEX('N04-S01'!$AY$18:$AY$199,2*(ROWS(AT$86:AT97)-1)+1),"")</f>
        <v>0</v>
      </c>
      <c r="AU97" s="13">
        <f>IFERROR(INDEX('N04-S01'!$AZ$18:$AZ$199,2*(ROWS(AU$86:AU97)-1)+1),"")</f>
        <v>0</v>
      </c>
      <c r="AV97">
        <f>IFERROR(INDEX('N04-S01'!$BA$18:$BA$199,2*(ROWS(AV$86:AV97)-1)+1),"")</f>
        <v>0</v>
      </c>
      <c r="AW97">
        <f>IFERROR(INDEX('N04-S01'!$BF$18:$BF$199,2*(ROWS(AW$86:AW97)-1)+1),"")</f>
        <v>0</v>
      </c>
      <c r="AX97" t="s">
        <v>820</v>
      </c>
      <c r="AY97" s="170"/>
      <c r="AZ97" s="170"/>
      <c r="BA97" s="170"/>
      <c r="BB97" s="170"/>
      <c r="BC97" s="170"/>
      <c r="BD97" s="170"/>
      <c r="BE97" s="170"/>
      <c r="BF97" s="170"/>
      <c r="BG97" s="170"/>
      <c r="BH97" s="170"/>
      <c r="BI97" s="170"/>
      <c r="BJ97" s="170"/>
      <c r="BK97" s="170"/>
    </row>
    <row r="98" spans="1:63" ht="14.25" customHeight="1">
      <c r="A98" s="14">
        <f t="shared" si="12"/>
        <v>0</v>
      </c>
      <c r="B98" t="str">
        <f t="shared" si="13"/>
        <v/>
      </c>
      <c r="C98" t="str">
        <f>IFERROR(IF(INDEX('N04-S01'!$BO$18:$BO$199,2*(ROWS($C$86:C98)-1)+1)="","",INDEX('N04-S01'!$BO$18:$BO$199,2*(ROWS($C$86:C98)-1)+1)),"")</f>
        <v/>
      </c>
      <c r="D98" t="s">
        <v>50</v>
      </c>
      <c r="E98" t="s">
        <v>38</v>
      </c>
      <c r="F98" t="s">
        <v>50</v>
      </c>
      <c r="G98">
        <f>IFERROR(INDEX('N04-S01'!$BG$18:$BG$199,2*(ROWS(G$86:G98)-1)+1),"")</f>
        <v>0</v>
      </c>
      <c r="H98" s="207"/>
      <c r="I98" s="189"/>
      <c r="J98" s="189"/>
      <c r="K98" s="189"/>
      <c r="L98" s="13" t="str">
        <f>IFERROR(ROUND(IF($AI98&lt;&gt;"","",INDEX('N04-S01'!$AE$18:$AE$199,2*(ROWS(L$86:L98)-1)+1)),2),"")</f>
        <v/>
      </c>
      <c r="N98" s="13" t="str">
        <f>IFERROR(ROUND(IF($AI98&lt;&gt;"","",INDEX('N04-S01'!$AH$18:$AH$199,2*(ROWS(N$86:N98)-1)+1)),2),"")</f>
        <v/>
      </c>
      <c r="O98" s="13" t="str">
        <f>IFERROR(ROUND(IF($AI98&lt;&gt;"","",INDEX('N04-S01'!$AB$18:$AB$199,2*(ROWS(O$86:O98)-1)+1)),2),"")</f>
        <v/>
      </c>
      <c r="P98" s="10" t="str">
        <f>IFERROR(IF(AI98&lt;&gt;"","",ROUND(INDEX('N04-S01'!$BB$18:$BB$199,2*(ROWS(P$86:P98)-1)+1),3)),"")</f>
        <v/>
      </c>
      <c r="Q98" s="10" t="str">
        <f>IFERROR(IF(AI98&lt;&gt;"","",ROUND(INDEX('N04-S01'!$BC$18:$BC$199,2*(ROWS(Q$86:Q98)-1)+1),3)),"")</f>
        <v/>
      </c>
      <c r="R98" s="207"/>
      <c r="S98" s="25" t="str">
        <f>IFERROR(IF(AI98&lt;&gt;"","",INDEX('N04-S01'!$AK$18:$AK$199,2*(ROWS(S$86:S98)-1)+1)),"")</f>
        <v/>
      </c>
      <c r="T98" s="31" t="str">
        <f>IFERROR(IF(AI98&lt;&gt;"","",INDEX('N04-S01'!$BI$18:$BI$199,2*(ROWS(T$86:T98)-1)+1)),"")</f>
        <v/>
      </c>
      <c r="U98" s="31" t="str">
        <f>IFERROR(IF(AI98&lt;&gt;"","",INDEX('N04-S01'!$BH$18:$BH$199,2*(ROWS(U$86:U98)-1)+1)),"")</f>
        <v/>
      </c>
      <c r="V98" s="13" t="str">
        <f>IFERROR(IF(AI98&lt;&gt;"","",INDEX('N04-S01'!$AN$18:$AN$199,2*(ROWS(V$86:V98)-1)+1)),"")</f>
        <v/>
      </c>
      <c r="W98" s="207"/>
      <c r="X98" s="207"/>
      <c r="Y98" s="13">
        <f>IFERROR(IF(AI98&lt;&gt;"",INDEX('N04-S01'!$AE$18:$AE$199,2*(ROWS(Y$86:Y98)-1)+1),""),"")</f>
        <v>0</v>
      </c>
      <c r="AA98" s="13">
        <f>IFERROR(IF($AI98&lt;&gt;"",INDEX('N04-S01'!$AH$18:$AH$199,2*(ROWS(AA$86:AA98)-1)+1),""),"")</f>
        <v>0</v>
      </c>
      <c r="AB98" s="13">
        <f>IFERROR(IF($AI98&lt;&gt;"",INDEX('N04-S01'!$AB$18:$AB$199,2*(ROWS(AB$86:AB98)-1)+1),""),"")</f>
        <v>0</v>
      </c>
      <c r="AC98" s="10">
        <f>IFERROR(IF(AI98&lt;&gt;"",ROUND(INDEX('N04-S01'!$BB$18:$BB$199,2*(ROWS(AC$86:AC98)-1)+1),3),""),"")</f>
        <v>0</v>
      </c>
      <c r="AD98" s="10">
        <f>IFERROR(IF(AI98&lt;&gt;"",ROUND(INDEX('N04-S01'!$BC$18:$BC$199,2*(ROWS(AD$86:AD98)-1)+1),3),""),"")</f>
        <v>0</v>
      </c>
      <c r="AE98" s="207"/>
      <c r="AF98" s="25">
        <f>IFERROR(IF(AI98&lt;&gt;"",INDEX('N04-S01'!$AK$18:$AK$199,2*(ROWS(AF$86:AF98)-1)+1),""),"")</f>
        <v>0</v>
      </c>
      <c r="AG98" s="31">
        <f>IFERROR(IF(AI98&lt;&gt;"",INDEX('N04-S01'!$BI$18:$BI$199,2*(ROWS(AG$86:AG98)-1)+1),""),"")</f>
        <v>0</v>
      </c>
      <c r="AH98" s="31">
        <f>IFERROR(IF(AI98&lt;&gt;"",INDEX('N04-S01'!$BH$18:$BH$199,2*(ROWS(AH$86:AH98)-1)+1),""),"")</f>
        <v>0</v>
      </c>
      <c r="AI98">
        <f>IFERROR(INDEX('N04-S01'!$BQ$18:$BQ$199,2*(ROWS(AI$86:AI98)-1)+1),"")</f>
        <v>0</v>
      </c>
      <c r="AJ98" s="25">
        <f>IFERROR(INDEX('N04-S01'!$BD$18:$BD$199,2*(ROWS(AJ$86:AJ98)-1)+1),"")</f>
        <v>0</v>
      </c>
      <c r="AK98" s="25">
        <f>IFERROR(INDEX('N04-S01'!$BE$18:$BE$199,2*(ROWS(AK$86:AK98)-1)+1),"")</f>
        <v>0</v>
      </c>
      <c r="AL98" s="207"/>
      <c r="AM98" s="207"/>
      <c r="AN98" s="207"/>
      <c r="AO98">
        <f>IFERROR(INDEX('N04-S01'!$B$18:$B$199,2*(ROWS(AO$86:AO98)-1)+1),"")</f>
        <v>0</v>
      </c>
      <c r="AP98" s="189"/>
      <c r="AQ98">
        <f>IFERROR(INDEX('N04-S01'!$C$18:$C$199,2*(ROWS(AQ$86:AQ98)-1)+1),"")</f>
        <v>0</v>
      </c>
      <c r="AR98">
        <f>IFERROR(INDEX('N04-S01'!$L$18:$L$199,2*(ROWS(AR$86:AR98)-1)+1),"")</f>
        <v>0</v>
      </c>
      <c r="AS98">
        <f>IFERROR(INDEX('N04-S01'!$T$18:$T$199,2*(ROWS(AS$86:AS98)-1)+1),"")</f>
        <v>0</v>
      </c>
      <c r="AT98" s="13">
        <f>IFERROR(INDEX('N04-S01'!$AY$18:$AY$199,2*(ROWS(AT$86:AT98)-1)+1),"")</f>
        <v>0</v>
      </c>
      <c r="AU98" s="13">
        <f>IFERROR(INDEX('N04-S01'!$AZ$18:$AZ$199,2*(ROWS(AU$86:AU98)-1)+1),"")</f>
        <v>0</v>
      </c>
      <c r="AV98">
        <f>IFERROR(INDEX('N04-S01'!$BA$18:$BA$199,2*(ROWS(AV$86:AV98)-1)+1),"")</f>
        <v>0</v>
      </c>
      <c r="AW98">
        <f>IFERROR(INDEX('N04-S01'!$BF$18:$BF$199,2*(ROWS(AW$86:AW98)-1)+1),"")</f>
        <v>0</v>
      </c>
      <c r="AX98" t="s">
        <v>820</v>
      </c>
      <c r="AY98" s="170"/>
      <c r="AZ98" s="170"/>
      <c r="BA98" s="170"/>
      <c r="BB98" s="170"/>
      <c r="BC98" s="170"/>
      <c r="BD98" s="170"/>
      <c r="BE98" s="170"/>
      <c r="BF98" s="170"/>
      <c r="BG98" s="170"/>
      <c r="BH98" s="170"/>
      <c r="BI98" s="170"/>
      <c r="BJ98" s="170"/>
      <c r="BK98" s="170"/>
    </row>
    <row r="99" spans="1:63">
      <c r="A99" s="14">
        <f t="shared" si="12"/>
        <v>0</v>
      </c>
      <c r="B99" t="str">
        <f t="shared" si="13"/>
        <v/>
      </c>
      <c r="C99" t="str">
        <f>IFERROR(IF(INDEX('N04-S01'!$BO$18:$BO$199,2*(ROWS($C$86:C99)-1)+1)="","",INDEX('N04-S01'!$BO$18:$BO$199,2*(ROWS($C$86:C99)-1)+1)),"")</f>
        <v/>
      </c>
      <c r="D99" t="s">
        <v>50</v>
      </c>
      <c r="E99" t="s">
        <v>38</v>
      </c>
      <c r="F99" t="s">
        <v>50</v>
      </c>
      <c r="G99">
        <f>IFERROR(INDEX('N04-S01'!$BG$18:$BG$199,2*(ROWS(G$86:G99)-1)+1),"")</f>
        <v>0</v>
      </c>
      <c r="H99" s="207"/>
      <c r="I99" s="189"/>
      <c r="J99" s="189"/>
      <c r="K99" s="189"/>
      <c r="L99" s="13" t="str">
        <f>IFERROR(ROUND(IF($AI99&lt;&gt;"","",INDEX('N04-S01'!$AE$18:$AE$199,2*(ROWS(L$86:L99)-1)+1)),2),"")</f>
        <v/>
      </c>
      <c r="N99" s="13" t="str">
        <f>IFERROR(ROUND(IF($AI99&lt;&gt;"","",INDEX('N04-S01'!$AH$18:$AH$199,2*(ROWS(N$86:N99)-1)+1)),2),"")</f>
        <v/>
      </c>
      <c r="O99" s="13" t="str">
        <f>IFERROR(ROUND(IF($AI99&lt;&gt;"","",INDEX('N04-S01'!$AB$18:$AB$199,2*(ROWS(O$86:O99)-1)+1)),2),"")</f>
        <v/>
      </c>
      <c r="P99" s="10" t="str">
        <f>IFERROR(IF(AI99&lt;&gt;"","",ROUND(INDEX('N04-S01'!$BB$18:$BB$199,2*(ROWS(P$86:P99)-1)+1),3)),"")</f>
        <v/>
      </c>
      <c r="Q99" s="10" t="str">
        <f>IFERROR(IF(AI99&lt;&gt;"","",ROUND(INDEX('N04-S01'!$BC$18:$BC$199,2*(ROWS(Q$86:Q99)-1)+1),3)),"")</f>
        <v/>
      </c>
      <c r="R99" s="207"/>
      <c r="S99" s="25" t="str">
        <f>IFERROR(IF(AI99&lt;&gt;"","",INDEX('N04-S01'!$AK$18:$AK$199,2*(ROWS(S$86:S99)-1)+1)),"")</f>
        <v/>
      </c>
      <c r="T99" s="31" t="str">
        <f>IFERROR(IF(AI99&lt;&gt;"","",INDEX('N04-S01'!$BI$18:$BI$199,2*(ROWS(T$86:T99)-1)+1)),"")</f>
        <v/>
      </c>
      <c r="U99" s="31" t="str">
        <f>IFERROR(IF(AI99&lt;&gt;"","",INDEX('N04-S01'!$BH$18:$BH$199,2*(ROWS(U$86:U99)-1)+1)),"")</f>
        <v/>
      </c>
      <c r="V99" s="13" t="str">
        <f>IFERROR(IF(AI99&lt;&gt;"","",INDEX('N04-S01'!$AN$18:$AN$199,2*(ROWS(V$86:V99)-1)+1)),"")</f>
        <v/>
      </c>
      <c r="W99" s="207"/>
      <c r="X99" s="207"/>
      <c r="Y99" s="13">
        <f>IFERROR(IF(AI99&lt;&gt;"",INDEX('N04-S01'!$AE$18:$AE$199,2*(ROWS(Y$86:Y99)-1)+1),""),"")</f>
        <v>0</v>
      </c>
      <c r="AA99" s="13">
        <f>IFERROR(IF($AI99&lt;&gt;"",INDEX('N04-S01'!$AH$18:$AH$199,2*(ROWS(AA$86:AA99)-1)+1),""),"")</f>
        <v>0</v>
      </c>
      <c r="AB99" s="13">
        <f>IFERROR(IF($AI99&lt;&gt;"",INDEX('N04-S01'!$AB$18:$AB$199,2*(ROWS(AB$86:AB99)-1)+1),""),"")</f>
        <v>0</v>
      </c>
      <c r="AC99" s="10">
        <f>IFERROR(IF(AI99&lt;&gt;"",ROUND(INDEX('N04-S01'!$BB$18:$BB$199,2*(ROWS(AC$86:AC99)-1)+1),3),""),"")</f>
        <v>0</v>
      </c>
      <c r="AD99" s="10">
        <f>IFERROR(IF(AI99&lt;&gt;"",ROUND(INDEX('N04-S01'!$BC$18:$BC$199,2*(ROWS(AD$86:AD99)-1)+1),3),""),"")</f>
        <v>0</v>
      </c>
      <c r="AE99" s="207"/>
      <c r="AF99" s="25">
        <f>IFERROR(IF(AI99&lt;&gt;"",INDEX('N04-S01'!$AK$18:$AK$199,2*(ROWS(AF$86:AF99)-1)+1),""),"")</f>
        <v>0</v>
      </c>
      <c r="AG99" s="31">
        <f>IFERROR(IF(AI99&lt;&gt;"",INDEX('N04-S01'!$BI$18:$BI$199,2*(ROWS(AG$86:AG99)-1)+1),""),"")</f>
        <v>0</v>
      </c>
      <c r="AH99" s="31">
        <f>IFERROR(IF(AI99&lt;&gt;"",INDEX('N04-S01'!$BH$18:$BH$199,2*(ROWS(AH$86:AH99)-1)+1),""),"")</f>
        <v>0</v>
      </c>
      <c r="AI99">
        <f>IFERROR(INDEX('N04-S01'!$BQ$18:$BQ$199,2*(ROWS(AI$86:AI99)-1)+1),"")</f>
        <v>0</v>
      </c>
      <c r="AJ99" s="25">
        <f>IFERROR(INDEX('N04-S01'!$BD$18:$BD$199,2*(ROWS(AJ$86:AJ99)-1)+1),"")</f>
        <v>0</v>
      </c>
      <c r="AK99" s="25">
        <f>IFERROR(INDEX('N04-S01'!$BE$18:$BE$199,2*(ROWS(AK$86:AK99)-1)+1),"")</f>
        <v>0</v>
      </c>
      <c r="AL99" s="207"/>
      <c r="AM99" s="207"/>
      <c r="AN99" s="207"/>
      <c r="AO99">
        <f>IFERROR(INDEX('N04-S01'!$B$18:$B$199,2*(ROWS(AO$86:AO99)-1)+1),"")</f>
        <v>0</v>
      </c>
      <c r="AP99" s="189"/>
      <c r="AQ99">
        <f>IFERROR(INDEX('N04-S01'!$C$18:$C$199,2*(ROWS(AQ$86:AQ99)-1)+1),"")</f>
        <v>0</v>
      </c>
      <c r="AR99">
        <f>IFERROR(INDEX('N04-S01'!$L$18:$L$199,2*(ROWS(AR$86:AR99)-1)+1),"")</f>
        <v>0</v>
      </c>
      <c r="AS99">
        <f>IFERROR(INDEX('N04-S01'!$T$18:$T$199,2*(ROWS(AS$86:AS99)-1)+1),"")</f>
        <v>0</v>
      </c>
      <c r="AT99" s="13">
        <f>IFERROR(INDEX('N04-S01'!$AY$18:$AY$199,2*(ROWS(AT$86:AT99)-1)+1),"")</f>
        <v>0</v>
      </c>
      <c r="AU99" s="13">
        <f>IFERROR(INDEX('N04-S01'!$AZ$18:$AZ$199,2*(ROWS(AU$86:AU99)-1)+1),"")</f>
        <v>0</v>
      </c>
      <c r="AV99">
        <f>IFERROR(INDEX('N04-S01'!$BA$18:$BA$199,2*(ROWS(AV$86:AV99)-1)+1),"")</f>
        <v>0</v>
      </c>
      <c r="AW99">
        <f>IFERROR(INDEX('N04-S01'!$BF$18:$BF$199,2*(ROWS(AW$86:AW99)-1)+1),"")</f>
        <v>0</v>
      </c>
      <c r="AX99" t="s">
        <v>820</v>
      </c>
      <c r="AY99" s="170"/>
      <c r="AZ99" s="170"/>
      <c r="BA99" s="170"/>
      <c r="BB99" s="170"/>
      <c r="BC99" s="170"/>
      <c r="BD99" s="170"/>
      <c r="BE99" s="170"/>
      <c r="BF99" s="170"/>
      <c r="BG99" s="170"/>
      <c r="BH99" s="170"/>
      <c r="BI99" s="170"/>
      <c r="BJ99" s="170"/>
      <c r="BK99" s="170"/>
    </row>
    <row r="100" spans="1:63">
      <c r="A100" s="14">
        <f t="shared" si="12"/>
        <v>0</v>
      </c>
      <c r="B100" t="str">
        <f t="shared" si="13"/>
        <v/>
      </c>
      <c r="C100" t="str">
        <f>IFERROR(IF(INDEX('N04-S01'!$BO$18:$BO$199,2*(ROWS($C$86:C100)-1)+1)="","",INDEX('N04-S01'!$BO$18:$BO$199,2*(ROWS($C$86:C100)-1)+1)),"")</f>
        <v/>
      </c>
      <c r="D100" t="s">
        <v>50</v>
      </c>
      <c r="E100" t="s">
        <v>38</v>
      </c>
      <c r="F100" t="s">
        <v>50</v>
      </c>
      <c r="G100">
        <f>IFERROR(INDEX('N04-S01'!$BG$18:$BG$199,2*(ROWS(G$86:G100)-1)+1),"")</f>
        <v>0</v>
      </c>
      <c r="H100" s="207"/>
      <c r="I100" s="189"/>
      <c r="J100" s="189"/>
      <c r="K100" s="189"/>
      <c r="L100" s="13" t="str">
        <f>IFERROR(ROUND(IF($AI100&lt;&gt;"","",INDEX('N04-S01'!$AE$18:$AE$199,2*(ROWS(L$86:L100)-1)+1)),2),"")</f>
        <v/>
      </c>
      <c r="N100" s="13" t="str">
        <f>IFERROR(ROUND(IF($AI100&lt;&gt;"","",INDEX('N04-S01'!$AH$18:$AH$199,2*(ROWS(N$86:N100)-1)+1)),2),"")</f>
        <v/>
      </c>
      <c r="O100" s="13" t="str">
        <f>IFERROR(ROUND(IF($AI100&lt;&gt;"","",INDEX('N04-S01'!$AB$18:$AB$199,2*(ROWS(O$86:O100)-1)+1)),2),"")</f>
        <v/>
      </c>
      <c r="P100" s="10" t="str">
        <f>IFERROR(IF(AI100&lt;&gt;"","",ROUND(INDEX('N04-S01'!$BB$18:$BB$199,2*(ROWS(P$86:P100)-1)+1),3)),"")</f>
        <v/>
      </c>
      <c r="Q100" s="10" t="str">
        <f>IFERROR(IF(AI100&lt;&gt;"","",ROUND(INDEX('N04-S01'!$BC$18:$BC$199,2*(ROWS(Q$86:Q100)-1)+1),3)),"")</f>
        <v/>
      </c>
      <c r="R100" s="207"/>
      <c r="S100" s="25" t="str">
        <f>IFERROR(IF(AI100&lt;&gt;"","",INDEX('N04-S01'!$AK$18:$AK$199,2*(ROWS(S$86:S100)-1)+1)),"")</f>
        <v/>
      </c>
      <c r="T100" s="31" t="str">
        <f>IFERROR(IF(AI100&lt;&gt;"","",INDEX('N04-S01'!$BI$18:$BI$199,2*(ROWS(T$86:T100)-1)+1)),"")</f>
        <v/>
      </c>
      <c r="U100" s="31" t="str">
        <f>IFERROR(IF(AI100&lt;&gt;"","",INDEX('N04-S01'!$BH$18:$BH$199,2*(ROWS(U$86:U100)-1)+1)),"")</f>
        <v/>
      </c>
      <c r="V100" s="13" t="str">
        <f>IFERROR(IF(AI100&lt;&gt;"","",INDEX('N04-S01'!$AN$18:$AN$199,2*(ROWS(V$86:V100)-1)+1)),"")</f>
        <v/>
      </c>
      <c r="W100" s="207"/>
      <c r="X100" s="207"/>
      <c r="Y100" s="13">
        <f>IFERROR(IF(AI100&lt;&gt;"",INDEX('N04-S01'!$AE$18:$AE$199,2*(ROWS(Y$86:Y100)-1)+1),""),"")</f>
        <v>0</v>
      </c>
      <c r="AA100" s="13">
        <f>IFERROR(IF($AI100&lt;&gt;"",INDEX('N04-S01'!$AH$18:$AH$199,2*(ROWS(AA$86:AA100)-1)+1),""),"")</f>
        <v>0</v>
      </c>
      <c r="AB100" s="13">
        <f>IFERROR(IF($AI100&lt;&gt;"",INDEX('N04-S01'!$AB$18:$AB$199,2*(ROWS(AB$86:AB100)-1)+1),""),"")</f>
        <v>0</v>
      </c>
      <c r="AC100" s="10">
        <f>IFERROR(IF(AI100&lt;&gt;"",ROUND(INDEX('N04-S01'!$BB$18:$BB$199,2*(ROWS(AC$86:AC100)-1)+1),3),""),"")</f>
        <v>0</v>
      </c>
      <c r="AD100" s="10">
        <f>IFERROR(IF(AI100&lt;&gt;"",ROUND(INDEX('N04-S01'!$BC$18:$BC$199,2*(ROWS(AD$86:AD100)-1)+1),3),""),"")</f>
        <v>0</v>
      </c>
      <c r="AE100" s="207"/>
      <c r="AF100" s="25">
        <f>IFERROR(IF(AI100&lt;&gt;"",INDEX('N04-S01'!$AK$18:$AK$199,2*(ROWS(AF$86:AF100)-1)+1),""),"")</f>
        <v>0</v>
      </c>
      <c r="AG100" s="31">
        <f>IFERROR(IF(AI100&lt;&gt;"",INDEX('N04-S01'!$BI$18:$BI$199,2*(ROWS(AG$86:AG100)-1)+1),""),"")</f>
        <v>0</v>
      </c>
      <c r="AH100" s="31">
        <f>IFERROR(IF(AI100&lt;&gt;"",INDEX('N04-S01'!$BH$18:$BH$199,2*(ROWS(AH$86:AH100)-1)+1),""),"")</f>
        <v>0</v>
      </c>
      <c r="AI100">
        <f>IFERROR(INDEX('N04-S01'!$BQ$18:$BQ$199,2*(ROWS(AI$86:AI100)-1)+1),"")</f>
        <v>0</v>
      </c>
      <c r="AJ100" s="25">
        <f>IFERROR(INDEX('N04-S01'!$BD$18:$BD$199,2*(ROWS(AJ$86:AJ100)-1)+1),"")</f>
        <v>0</v>
      </c>
      <c r="AK100" s="25">
        <f>IFERROR(INDEX('N04-S01'!$BE$18:$BE$199,2*(ROWS(AK$86:AK100)-1)+1),"")</f>
        <v>0</v>
      </c>
      <c r="AL100" s="207"/>
      <c r="AM100" s="207"/>
      <c r="AN100" s="207"/>
      <c r="AO100">
        <f>IFERROR(INDEX('N04-S01'!$B$18:$B$199,2*(ROWS(AO$86:AO100)-1)+1),"")</f>
        <v>0</v>
      </c>
      <c r="AP100" s="189"/>
      <c r="AQ100">
        <f>IFERROR(INDEX('N04-S01'!$C$18:$C$199,2*(ROWS(AQ$86:AQ100)-1)+1),"")</f>
        <v>0</v>
      </c>
      <c r="AR100">
        <f>IFERROR(INDEX('N04-S01'!$L$18:$L$199,2*(ROWS(AR$86:AR100)-1)+1),"")</f>
        <v>0</v>
      </c>
      <c r="AS100">
        <f>IFERROR(INDEX('N04-S01'!$T$18:$T$199,2*(ROWS(AS$86:AS100)-1)+1),"")</f>
        <v>0</v>
      </c>
      <c r="AT100" s="13">
        <f>IFERROR(INDEX('N04-S01'!$AY$18:$AY$199,2*(ROWS(AT$86:AT100)-1)+1),"")</f>
        <v>0</v>
      </c>
      <c r="AU100" s="13">
        <f>IFERROR(INDEX('N04-S01'!$AZ$18:$AZ$199,2*(ROWS(AU$86:AU100)-1)+1),"")</f>
        <v>0</v>
      </c>
      <c r="AV100">
        <f>IFERROR(INDEX('N04-S01'!$BA$18:$BA$199,2*(ROWS(AV$86:AV100)-1)+1),"")</f>
        <v>0</v>
      </c>
      <c r="AW100">
        <f>IFERROR(INDEX('N04-S01'!$BF$18:$BF$199,2*(ROWS(AW$86:AW100)-1)+1),"")</f>
        <v>0</v>
      </c>
      <c r="AX100" t="s">
        <v>820</v>
      </c>
      <c r="AY100" s="170"/>
      <c r="AZ100" s="170"/>
      <c r="BA100" s="170"/>
      <c r="BB100" s="170"/>
      <c r="BC100" s="170"/>
      <c r="BD100" s="170"/>
      <c r="BE100" s="170"/>
      <c r="BF100" s="170"/>
      <c r="BG100" s="170"/>
      <c r="BH100" s="170"/>
      <c r="BI100" s="170"/>
      <c r="BJ100" s="170"/>
      <c r="BK100" s="170"/>
    </row>
    <row r="101" spans="1:63">
      <c r="A101" s="223" t="str">
        <f>"Custom "&amp;N4S2</f>
        <v>Custom Motors and Drives</v>
      </c>
      <c r="B101" s="30"/>
      <c r="C101" s="30"/>
      <c r="D101" s="30"/>
      <c r="E101" s="30"/>
      <c r="F101" s="30"/>
      <c r="G101" s="30"/>
      <c r="H101" s="208"/>
      <c r="I101" s="30"/>
      <c r="J101" s="203"/>
      <c r="K101" s="203"/>
      <c r="L101" s="203"/>
      <c r="M101" s="30"/>
      <c r="N101" s="30"/>
      <c r="O101" s="30"/>
      <c r="P101" s="30"/>
      <c r="Q101" s="30"/>
      <c r="R101" s="208"/>
      <c r="S101" s="208"/>
      <c r="T101" s="214"/>
      <c r="U101" s="214"/>
      <c r="V101" s="203"/>
      <c r="W101" s="203"/>
      <c r="X101" s="203"/>
      <c r="Y101" s="203"/>
      <c r="Z101" s="30"/>
      <c r="AA101" s="30"/>
      <c r="AB101" s="30"/>
      <c r="AC101" s="211"/>
      <c r="AD101" s="211"/>
      <c r="AE101" s="208"/>
      <c r="AF101" s="208"/>
      <c r="AG101" s="214"/>
      <c r="AH101" s="214"/>
      <c r="AI101" s="30"/>
      <c r="AJ101" s="208"/>
      <c r="AK101" s="208"/>
      <c r="AL101" s="208"/>
      <c r="AM101" s="208"/>
      <c r="AN101" s="208"/>
      <c r="AO101" s="30"/>
      <c r="AP101" s="30"/>
      <c r="AQ101" s="100"/>
      <c r="AR101" s="30"/>
      <c r="AS101" s="30"/>
      <c r="AT101" s="203"/>
      <c r="AU101" s="203"/>
      <c r="AV101" s="30"/>
      <c r="AW101" s="30"/>
      <c r="AX101" s="30"/>
      <c r="AY101" s="170"/>
      <c r="AZ101" s="170"/>
      <c r="BA101" s="170"/>
      <c r="BB101" s="170"/>
      <c r="BC101" s="170"/>
      <c r="BD101" s="170"/>
      <c r="BE101" s="170"/>
      <c r="BF101" s="170"/>
      <c r="BG101" s="170"/>
      <c r="BH101" s="170"/>
      <c r="BI101" s="170"/>
      <c r="BJ101" s="170"/>
      <c r="BK101" s="170"/>
    </row>
    <row r="102" spans="1:63" ht="14.25" customHeight="1">
      <c r="A102" s="14">
        <f t="shared" ref="A102:A116" si="14">PROJID_N</f>
        <v>0</v>
      </c>
      <c r="B102" t="str">
        <f>IF(C102="","",CONCATENATE(ROW(),"-",C102))</f>
        <v/>
      </c>
      <c r="C102" t="str">
        <f>IFERROR(IF(INDEX('N04-S02'!$BO$18:$BO$199,2*(ROWS($C$102:C102)-1)+1)="","",INDEX('N04-S02'!$BO$18:$BO$199,2*(ROWS($C$102:C102)-1)+1)),"")</f>
        <v/>
      </c>
      <c r="D102" t="s">
        <v>50</v>
      </c>
      <c r="E102" t="s">
        <v>38</v>
      </c>
      <c r="F102" t="s">
        <v>50</v>
      </c>
      <c r="G102" t="str">
        <f>IFERROR(INDEX('N04-S02'!$BG$18:$BG$199,2*(ROWS(G$102:G102)-1)+1),"")</f>
        <v/>
      </c>
      <c r="H102" s="207"/>
      <c r="I102" s="189"/>
      <c r="J102" s="189"/>
      <c r="K102" s="189"/>
      <c r="L102" s="13" t="str">
        <f ca="1">IFERROR(ROUND(IF($AI102&lt;&gt;"","",INDEX('N04-S02'!$AE$18:$AE$199,2*(ROWS(L$102:L102)-1)+1)),2),"")</f>
        <v/>
      </c>
      <c r="N102" s="13" t="str">
        <f ca="1">IFERROR(ROUND(IF($AI102&lt;&gt;"","",INDEX('N04-S02'!$AH$18:$AH$199,2*(ROWS(N$102:N102)-1)+1)),2),"")</f>
        <v/>
      </c>
      <c r="O102" s="13" t="str">
        <f ca="1">IFERROR(ROUND(IF($AI102&lt;&gt;"","",INDEX('N04-S02'!$AB$18:$AB$199,2*(ROWS(O$102:O102)-1)+1)),2),"")</f>
        <v/>
      </c>
      <c r="P102" s="10" t="str">
        <f ca="1">IFERROR(IF(AI102&lt;&gt;"","",ROUND(INDEX('N04-S02'!$BB$18:$BB$199,2*(ROWS(P$102:P102)-1)+1),3)),"")</f>
        <v/>
      </c>
      <c r="Q102" s="10" t="str">
        <f ca="1">IFERROR(IF(AI102&lt;&gt;"","",ROUND(INDEX('N04-S02'!$BC$18:$BC$199,2*(ROWS(Q$102:Q102)-1)+1),3)),"")</f>
        <v/>
      </c>
      <c r="R102" s="207"/>
      <c r="S102" s="25" t="str">
        <f ca="1">IFERROR(IF(AI102&lt;&gt;"","",INDEX('N04-S02'!$AK$18:$AK$199,2*(ROWS(S$102:S102)-1)+1)),"")</f>
        <v/>
      </c>
      <c r="T102" s="31" t="str">
        <f ca="1">IFERROR(IF(AI102&lt;&gt;"","",INDEX('N04-S02'!$BI$18:$BI$199,2*(ROWS(T$102:T102)-1)+1)),"")</f>
        <v/>
      </c>
      <c r="U102" s="31" t="str">
        <f ca="1">IFERROR(IF(AI102&lt;&gt;"","",INDEX('N04-S02'!$BH$18:$BH$199,2*(ROWS(U$102:U102)-1)+1)),"")</f>
        <v/>
      </c>
      <c r="V102" s="13" t="str">
        <f ca="1">IFERROR(IF(AI102&lt;&gt;"","",INDEX('N04-S02'!$AN$18:$AN$199,2*(ROWS(V$102:V102)-1)+1)),"")</f>
        <v/>
      </c>
      <c r="W102" s="207"/>
      <c r="X102" s="207"/>
      <c r="Y102" s="13">
        <f ca="1">IFERROR(IF(AI102&lt;&gt;"",INDEX('N04-S02'!$AE$18:$AE$199,2*(ROWS(Y$102:Y102)-1)+1),""),"")</f>
        <v>0</v>
      </c>
      <c r="AA102" s="13" t="str">
        <f ca="1">IFERROR(IF($AI102&lt;&gt;"",INDEX('N04-S02'!$AH$18:$AH$199,2*(ROWS(AA$102:AA102)-1)+1),""),"")</f>
        <v/>
      </c>
      <c r="AB102" s="13">
        <f ca="1">IFERROR(IF($AI102&lt;&gt;"",INDEX('N04-S02'!$AB$18:$AB$199,2*(ROWS(AB$102:AB102)-1)+1),""),"")</f>
        <v>0</v>
      </c>
      <c r="AC102" s="10" t="str">
        <f ca="1">IFERROR(IF(AI102&lt;&gt;"",ROUND(INDEX('N04-S02'!$BB$18:$BB$199,2*(ROWS(AC$102:AC102)-1)+1),3),""),"")</f>
        <v/>
      </c>
      <c r="AD102" s="10" t="str">
        <f ca="1">IFERROR(IF(AI102&lt;&gt;"",ROUND(INDEX('N04-S02'!$BC$18:$BC$199,2*(ROWS(AD$102:AD102)-1)+1),3),""),"")</f>
        <v/>
      </c>
      <c r="AE102" s="207"/>
      <c r="AF102" s="25" t="str">
        <f ca="1">IFERROR(IF(AI102&lt;&gt;"",INDEX('N04-S02'!$AK$18:$AK$199,2*(ROWS(AF$102:AF102)-1)+1),""),"")</f>
        <v/>
      </c>
      <c r="AG102" s="31">
        <f ca="1">IFERROR(IF(AI102&lt;&gt;"",INDEX('N04-S02'!$BI$18:$BI$199,2*(ROWS(AG$102:AG102)-1)+1),""),"")</f>
        <v>0</v>
      </c>
      <c r="AH102" s="31" t="str">
        <f ca="1">IFERROR(IF(AI102&lt;&gt;"",INDEX('N04-S02'!$BH$18:$BH$199,2*(ROWS(AH$102:AH102)-1)+1),""),"")</f>
        <v/>
      </c>
      <c r="AI102" t="str">
        <f ca="1">IFERROR(INDEX('N04-S02'!$BQ$18:$BQ$199,2*(ROWS(AI$102:AI102)-1)+1),"")</f>
        <v>Submit for Review</v>
      </c>
      <c r="AJ102" s="25" t="str">
        <f>IFERROR(INDEX('N04-S02'!$BD$18:$BD$199,2*(ROWS(AJ$102:AJ102)-1)+1),"")</f>
        <v/>
      </c>
      <c r="AK102" s="25" t="str">
        <f>IFERROR(INDEX('N04-S02'!$BE$18:$BE$199,2*(ROWS(AK$102:AK102)-1)+1),"")</f>
        <v/>
      </c>
      <c r="AL102" s="207"/>
      <c r="AM102" s="207"/>
      <c r="AN102" s="207"/>
      <c r="AO102">
        <f>IFERROR(INDEX('N04-S02'!$B$18:$B$199,2*(ROWS(AO$102:AO102)-1)+1),"")</f>
        <v>1</v>
      </c>
      <c r="AP102" s="189"/>
      <c r="AQ102">
        <f>IFERROR(INDEX('N04-S02'!$C$18:$C$199,2*(ROWS(AQ$102:AQ102)-1)+1),"")</f>
        <v>0</v>
      </c>
      <c r="AR102">
        <f>IFERROR(INDEX('N04-S02'!$L$18:$L$199,2*(ROWS(AR$102:AR102)-1)+1),"")</f>
        <v>0</v>
      </c>
      <c r="AS102">
        <f>IFERROR(INDEX('N04-S02'!$T$18:$T$199,2*(ROWS(AS$102:AS102)-1)+1),"")</f>
        <v>0</v>
      </c>
      <c r="AT102" s="13" t="str">
        <f>IFERROR(INDEX('N04-S02'!$AY$18:$AY$199,2*(ROWS(AT$102:AT102)-1)+1),"")</f>
        <v/>
      </c>
      <c r="AU102" s="13" t="str">
        <f>IFERROR(INDEX('N04-S02'!$AZ$18:$AZ$199,2*(ROWS(AU$102:AU102)-1)+1),"")</f>
        <v/>
      </c>
      <c r="AV102" t="str">
        <f>IFERROR(INDEX('N04-S02'!$BA$18:$BA$199,2*(ROWS(AV$102:AV102)-1)+1),"")</f>
        <v/>
      </c>
      <c r="AW102" t="str">
        <f>IFERROR(INDEX('N04-S02'!$BF$18:$BF$199,2*(ROWS(AW$102:AW102)-1)+1),"")</f>
        <v/>
      </c>
      <c r="AX102" t="s">
        <v>820</v>
      </c>
      <c r="AY102" s="170"/>
      <c r="AZ102" s="170"/>
      <c r="BA102" s="170"/>
      <c r="BB102" s="170"/>
      <c r="BC102" s="170"/>
      <c r="BD102" s="170"/>
      <c r="BE102" s="170"/>
      <c r="BF102" s="170"/>
      <c r="BG102" s="170"/>
      <c r="BH102" s="170"/>
      <c r="BI102" s="170"/>
      <c r="BJ102" s="170"/>
      <c r="BK102" s="170"/>
    </row>
    <row r="103" spans="1:63">
      <c r="A103" s="14">
        <f t="shared" si="14"/>
        <v>0</v>
      </c>
      <c r="B103" t="str">
        <f t="shared" ref="B103:B116" si="15">IF(C103="","",CONCATENATE(ROW(),"-",C103))</f>
        <v/>
      </c>
      <c r="C103" t="str">
        <f>IFERROR(IF(INDEX('N04-S02'!$BO$18:$BO$199,2*(ROWS($C$102:C103)-1)+1)="","",INDEX('N04-S02'!$BO$18:$BO$199,2*(ROWS($C$102:C103)-1)+1)),"")</f>
        <v/>
      </c>
      <c r="D103" t="s">
        <v>50</v>
      </c>
      <c r="E103" t="s">
        <v>38</v>
      </c>
      <c r="F103" t="s">
        <v>50</v>
      </c>
      <c r="G103" t="str">
        <f>IFERROR(INDEX('N04-S02'!$BG$18:$BG$199,2*(ROWS(G$102:G103)-1)+1),"")</f>
        <v/>
      </c>
      <c r="H103" s="207"/>
      <c r="I103" s="189"/>
      <c r="J103" s="189"/>
      <c r="K103" s="189"/>
      <c r="L103" s="13" t="str">
        <f ca="1">IFERROR(ROUND(IF($AI103&lt;&gt;"","",INDEX('N04-S02'!$AE$18:$AE$199,2*(ROWS(L$102:L103)-1)+1)),2),"")</f>
        <v/>
      </c>
      <c r="N103" s="13" t="str">
        <f ca="1">IFERROR(ROUND(IF($AI103&lt;&gt;"","",INDEX('N04-S02'!$AH$18:$AH$199,2*(ROWS(N$102:N103)-1)+1)),2),"")</f>
        <v/>
      </c>
      <c r="O103" s="13" t="str">
        <f ca="1">IFERROR(ROUND(IF($AI103&lt;&gt;"","",INDEX('N04-S02'!$AB$18:$AB$199,2*(ROWS(O$102:O103)-1)+1)),2),"")</f>
        <v/>
      </c>
      <c r="P103" s="10" t="str">
        <f ca="1">IFERROR(IF(AI103&lt;&gt;"","",ROUND(INDEX('N04-S02'!$BB$18:$BB$199,2*(ROWS(P$102:P103)-1)+1),3)),"")</f>
        <v/>
      </c>
      <c r="Q103" s="10" t="str">
        <f ca="1">IFERROR(IF(AI103&lt;&gt;"","",ROUND(INDEX('N04-S02'!$BC$18:$BC$199,2*(ROWS(Q$102:Q103)-1)+1),3)),"")</f>
        <v/>
      </c>
      <c r="R103" s="207"/>
      <c r="S103" s="25" t="str">
        <f ca="1">IFERROR(IF(AI103&lt;&gt;"","",INDEX('N04-S02'!$AK$18:$AK$199,2*(ROWS(S$102:S103)-1)+1)),"")</f>
        <v/>
      </c>
      <c r="T103" s="31" t="str">
        <f ca="1">IFERROR(IF(AI103&lt;&gt;"","",INDEX('N04-S02'!$BI$18:$BI$199,2*(ROWS(T$102:T103)-1)+1)),"")</f>
        <v/>
      </c>
      <c r="U103" s="31" t="str">
        <f ca="1">IFERROR(IF(AI103&lt;&gt;"","",INDEX('N04-S02'!$BH$18:$BH$199,2*(ROWS(U$102:U103)-1)+1)),"")</f>
        <v/>
      </c>
      <c r="V103" s="13" t="str">
        <f ca="1">IFERROR(IF(AI103&lt;&gt;"","",INDEX('N04-S02'!$AN$18:$AN$199,2*(ROWS(V$102:V103)-1)+1)),"")</f>
        <v/>
      </c>
      <c r="W103" s="207"/>
      <c r="X103" s="207"/>
      <c r="Y103" s="13">
        <f ca="1">IFERROR(IF(AI103&lt;&gt;"",INDEX('N04-S02'!$AE$18:$AE$199,2*(ROWS(Y$102:Y103)-1)+1),""),"")</f>
        <v>0</v>
      </c>
      <c r="AA103" s="13" t="str">
        <f ca="1">IFERROR(IF($AI103&lt;&gt;"",INDEX('N04-S02'!$AH$18:$AH$199,2*(ROWS(AA$102:AA103)-1)+1),""),"")</f>
        <v/>
      </c>
      <c r="AB103" s="13">
        <f ca="1">IFERROR(IF($AI103&lt;&gt;"",INDEX('N04-S02'!$AB$18:$AB$199,2*(ROWS(AB$102:AB103)-1)+1),""),"")</f>
        <v>0</v>
      </c>
      <c r="AC103" s="10" t="str">
        <f ca="1">IFERROR(IF(AI103&lt;&gt;"",ROUND(INDEX('N04-S02'!$BB$18:$BB$199,2*(ROWS(AC$102:AC103)-1)+1),3),""),"")</f>
        <v/>
      </c>
      <c r="AD103" s="10" t="str">
        <f ca="1">IFERROR(IF(AI103&lt;&gt;"",ROUND(INDEX('N04-S02'!$BC$18:$BC$199,2*(ROWS(AD$102:AD103)-1)+1),3),""),"")</f>
        <v/>
      </c>
      <c r="AE103" s="207"/>
      <c r="AF103" s="25" t="str">
        <f ca="1">IFERROR(IF(AI103&lt;&gt;"",INDEX('N04-S02'!$AK$18:$AK$199,2*(ROWS(AF$102:AF103)-1)+1),""),"")</f>
        <v/>
      </c>
      <c r="AG103" s="31">
        <f ca="1">IFERROR(IF(AI103&lt;&gt;"",INDEX('N04-S02'!$BI$18:$BI$199,2*(ROWS(AG$102:AG103)-1)+1),""),"")</f>
        <v>0</v>
      </c>
      <c r="AH103" s="31" t="str">
        <f ca="1">IFERROR(IF(AI103&lt;&gt;"",INDEX('N04-S02'!$BH$18:$BH$199,2*(ROWS(AH$102:AH103)-1)+1),""),"")</f>
        <v/>
      </c>
      <c r="AI103" t="str">
        <f ca="1">IFERROR(INDEX('N04-S02'!$BQ$18:$BQ$199,2*(ROWS(AI$102:AI103)-1)+1),"")</f>
        <v>Submit for Review</v>
      </c>
      <c r="AJ103" s="25" t="str">
        <f>IFERROR(INDEX('N04-S02'!$BD$18:$BD$199,2*(ROWS(AJ$102:AJ103)-1)+1),"")</f>
        <v/>
      </c>
      <c r="AK103" s="25" t="str">
        <f>IFERROR(INDEX('N04-S02'!$BE$18:$BE$199,2*(ROWS(AK$102:AK103)-1)+1),"")</f>
        <v/>
      </c>
      <c r="AL103" s="207"/>
      <c r="AM103" s="207"/>
      <c r="AN103" s="207"/>
      <c r="AO103">
        <f>IFERROR(INDEX('N04-S02'!$B$18:$B$199,2*(ROWS(AO$102:AO103)-1)+1),"")</f>
        <v>2</v>
      </c>
      <c r="AP103" s="189"/>
      <c r="AQ103">
        <f>IFERROR(INDEX('N04-S02'!$C$18:$C$199,2*(ROWS(AQ$102:AQ103)-1)+1),"")</f>
        <v>0</v>
      </c>
      <c r="AR103">
        <f>IFERROR(INDEX('N04-S02'!$L$18:$L$199,2*(ROWS(AR$102:AR103)-1)+1),"")</f>
        <v>0</v>
      </c>
      <c r="AS103">
        <f>IFERROR(INDEX('N04-S02'!$T$18:$T$199,2*(ROWS(AS$102:AS103)-1)+1),"")</f>
        <v>0</v>
      </c>
      <c r="AT103" s="13" t="str">
        <f>IFERROR(INDEX('N04-S02'!$AY$18:$AY$199,2*(ROWS(AT$102:AT103)-1)+1),"")</f>
        <v/>
      </c>
      <c r="AU103" s="13" t="str">
        <f>IFERROR(INDEX('N04-S02'!$AZ$18:$AZ$199,2*(ROWS(AU$102:AU103)-1)+1),"")</f>
        <v/>
      </c>
      <c r="AV103" t="str">
        <f>IFERROR(INDEX('N04-S02'!$BA$18:$BA$199,2*(ROWS(AV$102:AV103)-1)+1),"")</f>
        <v/>
      </c>
      <c r="AW103" t="str">
        <f>IFERROR(INDEX('N04-S02'!$BF$18:$BF$199,2*(ROWS(AW$102:AW103)-1)+1),"")</f>
        <v/>
      </c>
      <c r="AX103" t="s">
        <v>820</v>
      </c>
      <c r="AY103" s="170"/>
      <c r="AZ103" s="170"/>
      <c r="BA103" s="170"/>
      <c r="BB103" s="170"/>
      <c r="BC103" s="170"/>
      <c r="BD103" s="170"/>
      <c r="BE103" s="170"/>
      <c r="BF103" s="170"/>
      <c r="BG103" s="170"/>
      <c r="BH103" s="170"/>
      <c r="BI103" s="170"/>
      <c r="BJ103" s="170"/>
      <c r="BK103" s="170"/>
    </row>
    <row r="104" spans="1:63">
      <c r="A104" s="14">
        <f t="shared" si="14"/>
        <v>0</v>
      </c>
      <c r="B104" t="str">
        <f t="shared" si="15"/>
        <v/>
      </c>
      <c r="C104" t="str">
        <f>IFERROR(IF(INDEX('N04-S02'!$BO$18:$BO$199,2*(ROWS($C$102:C104)-1)+1)="","",INDEX('N04-S02'!$BO$18:$BO$199,2*(ROWS($C$102:C104)-1)+1)),"")</f>
        <v/>
      </c>
      <c r="D104" t="s">
        <v>50</v>
      </c>
      <c r="E104" t="s">
        <v>38</v>
      </c>
      <c r="F104" t="s">
        <v>50</v>
      </c>
      <c r="G104" t="str">
        <f>IFERROR(INDEX('N04-S02'!$BG$18:$BG$199,2*(ROWS(G$102:G104)-1)+1),"")</f>
        <v/>
      </c>
      <c r="H104" s="207"/>
      <c r="I104" s="189"/>
      <c r="J104" s="189"/>
      <c r="K104" s="189"/>
      <c r="L104" s="13" t="str">
        <f ca="1">IFERROR(ROUND(IF($AI104&lt;&gt;"","",INDEX('N04-S02'!$AE$18:$AE$199,2*(ROWS(L$102:L104)-1)+1)),2),"")</f>
        <v/>
      </c>
      <c r="N104" s="13" t="str">
        <f ca="1">IFERROR(ROUND(IF($AI104&lt;&gt;"","",INDEX('N04-S02'!$AH$18:$AH$199,2*(ROWS(N$102:N104)-1)+1)),2),"")</f>
        <v/>
      </c>
      <c r="O104" s="13" t="str">
        <f ca="1">IFERROR(ROUND(IF($AI104&lt;&gt;"","",INDEX('N04-S02'!$AB$18:$AB$199,2*(ROWS(O$102:O104)-1)+1)),2),"")</f>
        <v/>
      </c>
      <c r="P104" s="10" t="str">
        <f ca="1">IFERROR(IF(AI104&lt;&gt;"","",ROUND(INDEX('N04-S02'!$BB$18:$BB$199,2*(ROWS(P$102:P104)-1)+1),3)),"")</f>
        <v/>
      </c>
      <c r="Q104" s="10" t="str">
        <f ca="1">IFERROR(IF(AI104&lt;&gt;"","",ROUND(INDEX('N04-S02'!$BC$18:$BC$199,2*(ROWS(Q$102:Q104)-1)+1),3)),"")</f>
        <v/>
      </c>
      <c r="R104" s="207"/>
      <c r="S104" s="25" t="str">
        <f ca="1">IFERROR(IF(AI104&lt;&gt;"","",INDEX('N04-S02'!$AK$18:$AK$199,2*(ROWS(S$102:S104)-1)+1)),"")</f>
        <v/>
      </c>
      <c r="T104" s="31" t="str">
        <f ca="1">IFERROR(IF(AI104&lt;&gt;"","",INDEX('N04-S02'!$BI$18:$BI$199,2*(ROWS(T$102:T104)-1)+1)),"")</f>
        <v/>
      </c>
      <c r="U104" s="31" t="str">
        <f ca="1">IFERROR(IF(AI104&lt;&gt;"","",INDEX('N04-S02'!$BH$18:$BH$199,2*(ROWS(U$102:U104)-1)+1)),"")</f>
        <v/>
      </c>
      <c r="V104" s="13" t="str">
        <f ca="1">IFERROR(IF(AI104&lt;&gt;"","",INDEX('N04-S02'!$AN$18:$AN$199,2*(ROWS(V$102:V104)-1)+1)),"")</f>
        <v/>
      </c>
      <c r="W104" s="207"/>
      <c r="X104" s="207"/>
      <c r="Y104" s="13">
        <f ca="1">IFERROR(IF(AI104&lt;&gt;"",INDEX('N04-S02'!$AE$18:$AE$199,2*(ROWS(Y$102:Y104)-1)+1),""),"")</f>
        <v>0</v>
      </c>
      <c r="AA104" s="13" t="str">
        <f ca="1">IFERROR(IF($AI104&lt;&gt;"",INDEX('N04-S02'!$AH$18:$AH$199,2*(ROWS(AA$102:AA104)-1)+1),""),"")</f>
        <v/>
      </c>
      <c r="AB104" s="13">
        <f ca="1">IFERROR(IF($AI104&lt;&gt;"",INDEX('N04-S02'!$AB$18:$AB$199,2*(ROWS(AB$102:AB104)-1)+1),""),"")</f>
        <v>0</v>
      </c>
      <c r="AC104" s="10" t="str">
        <f ca="1">IFERROR(IF(AI104&lt;&gt;"",ROUND(INDEX('N04-S02'!$BB$18:$BB$199,2*(ROWS(AC$102:AC104)-1)+1),3),""),"")</f>
        <v/>
      </c>
      <c r="AD104" s="10" t="str">
        <f ca="1">IFERROR(IF(AI104&lt;&gt;"",ROUND(INDEX('N04-S02'!$BC$18:$BC$199,2*(ROWS(AD$102:AD104)-1)+1),3),""),"")</f>
        <v/>
      </c>
      <c r="AE104" s="207"/>
      <c r="AF104" s="25" t="str">
        <f ca="1">IFERROR(IF(AI104&lt;&gt;"",INDEX('N04-S02'!$AK$18:$AK$199,2*(ROWS(AF$102:AF104)-1)+1),""),"")</f>
        <v/>
      </c>
      <c r="AG104" s="31">
        <f ca="1">IFERROR(IF(AI104&lt;&gt;"",INDEX('N04-S02'!$BI$18:$BI$199,2*(ROWS(AG$102:AG104)-1)+1),""),"")</f>
        <v>0</v>
      </c>
      <c r="AH104" s="31" t="str">
        <f ca="1">IFERROR(IF(AI104&lt;&gt;"",INDEX('N04-S02'!$BH$18:$BH$199,2*(ROWS(AH$102:AH104)-1)+1),""),"")</f>
        <v/>
      </c>
      <c r="AI104" t="str">
        <f ca="1">IFERROR(INDEX('N04-S02'!$BQ$18:$BQ$199,2*(ROWS(AI$102:AI104)-1)+1),"")</f>
        <v>Submit for Review</v>
      </c>
      <c r="AJ104" s="25" t="str">
        <f>IFERROR(INDEX('N04-S02'!$BD$18:$BD$199,2*(ROWS(AJ$102:AJ104)-1)+1),"")</f>
        <v/>
      </c>
      <c r="AK104" s="25" t="str">
        <f>IFERROR(INDEX('N04-S02'!$BE$18:$BE$199,2*(ROWS(AK$102:AK104)-1)+1),"")</f>
        <v/>
      </c>
      <c r="AL104" s="207"/>
      <c r="AM104" s="207"/>
      <c r="AN104" s="207"/>
      <c r="AO104">
        <f>IFERROR(INDEX('N04-S02'!$B$18:$B$199,2*(ROWS(AO$102:AO104)-1)+1),"")</f>
        <v>3</v>
      </c>
      <c r="AP104" s="189"/>
      <c r="AQ104">
        <f>IFERROR(INDEX('N04-S02'!$C$18:$C$199,2*(ROWS(AQ$102:AQ104)-1)+1),"")</f>
        <v>0</v>
      </c>
      <c r="AR104">
        <f>IFERROR(INDEX('N04-S02'!$L$18:$L$199,2*(ROWS(AR$102:AR104)-1)+1),"")</f>
        <v>0</v>
      </c>
      <c r="AS104">
        <f>IFERROR(INDEX('N04-S02'!$T$18:$T$199,2*(ROWS(AS$102:AS104)-1)+1),"")</f>
        <v>0</v>
      </c>
      <c r="AT104" s="13" t="str">
        <f>IFERROR(INDEX('N04-S02'!$AY$18:$AY$199,2*(ROWS(AT$102:AT104)-1)+1),"")</f>
        <v/>
      </c>
      <c r="AU104" s="13" t="str">
        <f>IFERROR(INDEX('N04-S02'!$AZ$18:$AZ$199,2*(ROWS(AU$102:AU104)-1)+1),"")</f>
        <v/>
      </c>
      <c r="AV104" t="str">
        <f>IFERROR(INDEX('N04-S02'!$BA$18:$BA$199,2*(ROWS(AV$102:AV104)-1)+1),"")</f>
        <v/>
      </c>
      <c r="AW104" t="str">
        <f>IFERROR(INDEX('N04-S02'!$BF$18:$BF$199,2*(ROWS(AW$102:AW104)-1)+1),"")</f>
        <v/>
      </c>
      <c r="AX104" t="s">
        <v>820</v>
      </c>
      <c r="AY104" s="170"/>
      <c r="AZ104" s="170"/>
      <c r="BA104" s="170"/>
      <c r="BB104" s="170"/>
      <c r="BC104" s="170"/>
      <c r="BD104" s="170"/>
      <c r="BE104" s="170"/>
      <c r="BF104" s="170"/>
      <c r="BG104" s="170"/>
      <c r="BH104" s="170"/>
      <c r="BI104" s="170"/>
      <c r="BJ104" s="170"/>
      <c r="BK104" s="170"/>
    </row>
    <row r="105" spans="1:63">
      <c r="A105" s="14">
        <f t="shared" si="14"/>
        <v>0</v>
      </c>
      <c r="B105" t="str">
        <f t="shared" si="15"/>
        <v/>
      </c>
      <c r="C105" t="str">
        <f>IFERROR(IF(INDEX('N04-S02'!$BO$18:$BO$199,2*(ROWS($C$102:C105)-1)+1)="","",INDEX('N04-S02'!$BO$18:$BO$199,2*(ROWS($C$102:C105)-1)+1)),"")</f>
        <v/>
      </c>
      <c r="D105" t="s">
        <v>50</v>
      </c>
      <c r="E105" t="s">
        <v>38</v>
      </c>
      <c r="F105" t="s">
        <v>50</v>
      </c>
      <c r="G105" t="str">
        <f>IFERROR(INDEX('N04-S02'!$BG$18:$BG$199,2*(ROWS(G$102:G105)-1)+1),"")</f>
        <v/>
      </c>
      <c r="H105" s="207"/>
      <c r="I105" s="189"/>
      <c r="J105" s="189"/>
      <c r="K105" s="189"/>
      <c r="L105" s="13" t="str">
        <f ca="1">IFERROR(ROUND(IF($AI105&lt;&gt;"","",INDEX('N04-S02'!$AE$18:$AE$199,2*(ROWS(L$102:L105)-1)+1)),2),"")</f>
        <v/>
      </c>
      <c r="N105" s="13" t="str">
        <f ca="1">IFERROR(ROUND(IF($AI105&lt;&gt;"","",INDEX('N04-S02'!$AH$18:$AH$199,2*(ROWS(N$102:N105)-1)+1)),2),"")</f>
        <v/>
      </c>
      <c r="O105" s="13" t="str">
        <f ca="1">IFERROR(ROUND(IF($AI105&lt;&gt;"","",INDEX('N04-S02'!$AB$18:$AB$199,2*(ROWS(O$102:O105)-1)+1)),2),"")</f>
        <v/>
      </c>
      <c r="P105" s="10" t="str">
        <f ca="1">IFERROR(IF(AI105&lt;&gt;"","",ROUND(INDEX('N04-S02'!$BB$18:$BB$199,2*(ROWS(P$102:P105)-1)+1),3)),"")</f>
        <v/>
      </c>
      <c r="Q105" s="10" t="str">
        <f ca="1">IFERROR(IF(AI105&lt;&gt;"","",ROUND(INDEX('N04-S02'!$BC$18:$BC$199,2*(ROWS(Q$102:Q105)-1)+1),3)),"")</f>
        <v/>
      </c>
      <c r="R105" s="207"/>
      <c r="S105" s="25" t="str">
        <f ca="1">IFERROR(IF(AI105&lt;&gt;"","",INDEX('N04-S02'!$AK$18:$AK$199,2*(ROWS(S$102:S105)-1)+1)),"")</f>
        <v/>
      </c>
      <c r="T105" s="31" t="str">
        <f ca="1">IFERROR(IF(AI105&lt;&gt;"","",INDEX('N04-S02'!$BI$18:$BI$199,2*(ROWS(T$102:T105)-1)+1)),"")</f>
        <v/>
      </c>
      <c r="U105" s="31" t="str">
        <f ca="1">IFERROR(IF(AI105&lt;&gt;"","",INDEX('N04-S02'!$BH$18:$BH$199,2*(ROWS(U$102:U105)-1)+1)),"")</f>
        <v/>
      </c>
      <c r="V105" s="13" t="str">
        <f ca="1">IFERROR(IF(AI105&lt;&gt;"","",INDEX('N04-S02'!$AN$18:$AN$199,2*(ROWS(V$102:V105)-1)+1)),"")</f>
        <v/>
      </c>
      <c r="W105" s="207"/>
      <c r="X105" s="207"/>
      <c r="Y105" s="13">
        <f ca="1">IFERROR(IF(AI105&lt;&gt;"",INDEX('N04-S02'!$AE$18:$AE$199,2*(ROWS(Y$102:Y105)-1)+1),""),"")</f>
        <v>0</v>
      </c>
      <c r="AA105" s="13" t="str">
        <f ca="1">IFERROR(IF($AI105&lt;&gt;"",INDEX('N04-S02'!$AH$18:$AH$199,2*(ROWS(AA$102:AA105)-1)+1),""),"")</f>
        <v/>
      </c>
      <c r="AB105" s="13">
        <f ca="1">IFERROR(IF($AI105&lt;&gt;"",INDEX('N04-S02'!$AB$18:$AB$199,2*(ROWS(AB$102:AB105)-1)+1),""),"")</f>
        <v>0</v>
      </c>
      <c r="AC105" s="10" t="str">
        <f ca="1">IFERROR(IF(AI105&lt;&gt;"",ROUND(INDEX('N04-S02'!$BB$18:$BB$199,2*(ROWS(AC$102:AC105)-1)+1),3),""),"")</f>
        <v/>
      </c>
      <c r="AD105" s="10" t="str">
        <f ca="1">IFERROR(IF(AI105&lt;&gt;"",ROUND(INDEX('N04-S02'!$BC$18:$BC$199,2*(ROWS(AD$102:AD105)-1)+1),3),""),"")</f>
        <v/>
      </c>
      <c r="AE105" s="207"/>
      <c r="AF105" s="25" t="str">
        <f ca="1">IFERROR(IF(AI105&lt;&gt;"",INDEX('N04-S02'!$AK$18:$AK$199,2*(ROWS(AF$102:AF105)-1)+1),""),"")</f>
        <v/>
      </c>
      <c r="AG105" s="31">
        <f ca="1">IFERROR(IF(AI105&lt;&gt;"",INDEX('N04-S02'!$BI$18:$BI$199,2*(ROWS(AG$102:AG105)-1)+1),""),"")</f>
        <v>0</v>
      </c>
      <c r="AH105" s="31" t="str">
        <f ca="1">IFERROR(IF(AI105&lt;&gt;"",INDEX('N04-S02'!$BH$18:$BH$199,2*(ROWS(AH$102:AH105)-1)+1),""),"")</f>
        <v/>
      </c>
      <c r="AI105" t="str">
        <f ca="1">IFERROR(INDEX('N04-S02'!$BQ$18:$BQ$199,2*(ROWS(AI$102:AI105)-1)+1),"")</f>
        <v>Submit for Review</v>
      </c>
      <c r="AJ105" s="25" t="str">
        <f>IFERROR(INDEX('N04-S02'!$BD$18:$BD$199,2*(ROWS(AJ$102:AJ105)-1)+1),"")</f>
        <v/>
      </c>
      <c r="AK105" s="25" t="str">
        <f>IFERROR(INDEX('N04-S02'!$BE$18:$BE$199,2*(ROWS(AK$102:AK105)-1)+1),"")</f>
        <v/>
      </c>
      <c r="AL105" s="207"/>
      <c r="AM105" s="207"/>
      <c r="AN105" s="207"/>
      <c r="AO105">
        <f>IFERROR(INDEX('N04-S02'!$B$18:$B$199,2*(ROWS(AO$102:AO105)-1)+1),"")</f>
        <v>4</v>
      </c>
      <c r="AP105" s="189"/>
      <c r="AQ105">
        <f>IFERROR(INDEX('N04-S02'!$C$18:$C$199,2*(ROWS(AQ$102:AQ105)-1)+1),"")</f>
        <v>0</v>
      </c>
      <c r="AR105">
        <f>IFERROR(INDEX('N04-S02'!$L$18:$L$199,2*(ROWS(AR$102:AR105)-1)+1),"")</f>
        <v>0</v>
      </c>
      <c r="AS105">
        <f>IFERROR(INDEX('N04-S02'!$T$18:$T$199,2*(ROWS(AS$102:AS105)-1)+1),"")</f>
        <v>0</v>
      </c>
      <c r="AT105" s="13" t="str">
        <f>IFERROR(INDEX('N04-S02'!$AY$18:$AY$199,2*(ROWS(AT$102:AT105)-1)+1),"")</f>
        <v/>
      </c>
      <c r="AU105" s="13" t="str">
        <f>IFERROR(INDEX('N04-S02'!$AZ$18:$AZ$199,2*(ROWS(AU$102:AU105)-1)+1),"")</f>
        <v/>
      </c>
      <c r="AV105" t="str">
        <f>IFERROR(INDEX('N04-S02'!$BA$18:$BA$199,2*(ROWS(AV$102:AV105)-1)+1),"")</f>
        <v/>
      </c>
      <c r="AW105" t="str">
        <f>IFERROR(INDEX('N04-S02'!$BF$18:$BF$199,2*(ROWS(AW$102:AW105)-1)+1),"")</f>
        <v/>
      </c>
      <c r="AX105" t="s">
        <v>820</v>
      </c>
      <c r="AY105" s="170"/>
      <c r="AZ105" s="170"/>
      <c r="BA105" s="170"/>
      <c r="BB105" s="170"/>
      <c r="BC105" s="170"/>
      <c r="BD105" s="170"/>
      <c r="BE105" s="170"/>
      <c r="BF105" s="170"/>
      <c r="BG105" s="170"/>
      <c r="BH105" s="170"/>
      <c r="BI105" s="170"/>
      <c r="BJ105" s="170"/>
      <c r="BK105" s="170"/>
    </row>
    <row r="106" spans="1:63">
      <c r="A106" s="14">
        <f t="shared" si="14"/>
        <v>0</v>
      </c>
      <c r="B106" t="str">
        <f t="shared" si="15"/>
        <v/>
      </c>
      <c r="C106" t="str">
        <f>IFERROR(IF(INDEX('N04-S02'!$BO$18:$BO$199,2*(ROWS($C$102:C106)-1)+1)="","",INDEX('N04-S02'!$BO$18:$BO$199,2*(ROWS($C$102:C106)-1)+1)),"")</f>
        <v/>
      </c>
      <c r="D106" t="s">
        <v>50</v>
      </c>
      <c r="E106" t="s">
        <v>38</v>
      </c>
      <c r="F106" t="s">
        <v>50</v>
      </c>
      <c r="G106" t="str">
        <f>IFERROR(INDEX('N04-S02'!$BG$18:$BG$199,2*(ROWS(G$102:G106)-1)+1),"")</f>
        <v/>
      </c>
      <c r="H106" s="207"/>
      <c r="I106" s="189"/>
      <c r="J106" s="189"/>
      <c r="K106" s="189"/>
      <c r="L106" s="13" t="str">
        <f ca="1">IFERROR(ROUND(IF($AI106&lt;&gt;"","",INDEX('N04-S02'!$AE$18:$AE$199,2*(ROWS(L$102:L106)-1)+1)),2),"")</f>
        <v/>
      </c>
      <c r="N106" s="13" t="str">
        <f ca="1">IFERROR(ROUND(IF($AI106&lt;&gt;"","",INDEX('N04-S02'!$AH$18:$AH$199,2*(ROWS(N$102:N106)-1)+1)),2),"")</f>
        <v/>
      </c>
      <c r="O106" s="13" t="str">
        <f ca="1">IFERROR(ROUND(IF($AI106&lt;&gt;"","",INDEX('N04-S02'!$AB$18:$AB$199,2*(ROWS(O$102:O106)-1)+1)),2),"")</f>
        <v/>
      </c>
      <c r="P106" s="10" t="str">
        <f ca="1">IFERROR(IF(AI106&lt;&gt;"","",ROUND(INDEX('N04-S02'!$BB$18:$BB$199,2*(ROWS(P$102:P106)-1)+1),3)),"")</f>
        <v/>
      </c>
      <c r="Q106" s="10" t="str">
        <f ca="1">IFERROR(IF(AI106&lt;&gt;"","",ROUND(INDEX('N04-S02'!$BC$18:$BC$199,2*(ROWS(Q$102:Q106)-1)+1),3)),"")</f>
        <v/>
      </c>
      <c r="R106" s="207"/>
      <c r="S106" s="25" t="str">
        <f ca="1">IFERROR(IF(AI106&lt;&gt;"","",INDEX('N04-S02'!$AK$18:$AK$199,2*(ROWS(S$102:S106)-1)+1)),"")</f>
        <v/>
      </c>
      <c r="T106" s="31" t="str">
        <f ca="1">IFERROR(IF(AI106&lt;&gt;"","",INDEX('N04-S02'!$BI$18:$BI$199,2*(ROWS(T$102:T106)-1)+1)),"")</f>
        <v/>
      </c>
      <c r="U106" s="31" t="str">
        <f ca="1">IFERROR(IF(AI106&lt;&gt;"","",INDEX('N04-S02'!$BH$18:$BH$199,2*(ROWS(U$102:U106)-1)+1)),"")</f>
        <v/>
      </c>
      <c r="V106" s="13" t="str">
        <f ca="1">IFERROR(IF(AI106&lt;&gt;"","",INDEX('N04-S02'!$AN$18:$AN$199,2*(ROWS(V$102:V106)-1)+1)),"")</f>
        <v/>
      </c>
      <c r="W106" s="207"/>
      <c r="X106" s="207"/>
      <c r="Y106" s="13">
        <f ca="1">IFERROR(IF(AI106&lt;&gt;"",INDEX('N04-S02'!$AE$18:$AE$199,2*(ROWS(Y$102:Y106)-1)+1),""),"")</f>
        <v>0</v>
      </c>
      <c r="AA106" s="13" t="str">
        <f ca="1">IFERROR(IF($AI106&lt;&gt;"",INDEX('N04-S02'!$AH$18:$AH$199,2*(ROWS(AA$102:AA106)-1)+1),""),"")</f>
        <v/>
      </c>
      <c r="AB106" s="13">
        <f ca="1">IFERROR(IF($AI106&lt;&gt;"",INDEX('N04-S02'!$AB$18:$AB$199,2*(ROWS(AB$102:AB106)-1)+1),""),"")</f>
        <v>0</v>
      </c>
      <c r="AC106" s="10" t="str">
        <f ca="1">IFERROR(IF(AI106&lt;&gt;"",ROUND(INDEX('N04-S02'!$BB$18:$BB$199,2*(ROWS(AC$102:AC106)-1)+1),3),""),"")</f>
        <v/>
      </c>
      <c r="AD106" s="10" t="str">
        <f ca="1">IFERROR(IF(AI106&lt;&gt;"",ROUND(INDEX('N04-S02'!$BC$18:$BC$199,2*(ROWS(AD$102:AD106)-1)+1),3),""),"")</f>
        <v/>
      </c>
      <c r="AE106" s="207"/>
      <c r="AF106" s="25" t="str">
        <f ca="1">IFERROR(IF(AI106&lt;&gt;"",INDEX('N04-S02'!$AK$18:$AK$199,2*(ROWS(AF$102:AF106)-1)+1),""),"")</f>
        <v/>
      </c>
      <c r="AG106" s="31">
        <f ca="1">IFERROR(IF(AI106&lt;&gt;"",INDEX('N04-S02'!$BI$18:$BI$199,2*(ROWS(AG$102:AG106)-1)+1),""),"")</f>
        <v>0</v>
      </c>
      <c r="AH106" s="31" t="str">
        <f ca="1">IFERROR(IF(AI106&lt;&gt;"",INDEX('N04-S02'!$BH$18:$BH$199,2*(ROWS(AH$102:AH106)-1)+1),""),"")</f>
        <v/>
      </c>
      <c r="AI106" t="str">
        <f ca="1">IFERROR(INDEX('N04-S02'!$BQ$18:$BQ$199,2*(ROWS(AI$102:AI106)-1)+1),"")</f>
        <v>Submit for Review</v>
      </c>
      <c r="AJ106" s="25" t="str">
        <f>IFERROR(INDEX('N04-S02'!$BD$18:$BD$199,2*(ROWS(AJ$102:AJ106)-1)+1),"")</f>
        <v/>
      </c>
      <c r="AK106" s="25" t="str">
        <f>IFERROR(INDEX('N04-S02'!$BE$18:$BE$199,2*(ROWS(AK$102:AK106)-1)+1),"")</f>
        <v/>
      </c>
      <c r="AL106" s="207"/>
      <c r="AM106" s="207"/>
      <c r="AN106" s="207"/>
      <c r="AO106">
        <f>IFERROR(INDEX('N04-S02'!$B$18:$B$199,2*(ROWS(AO$102:AO106)-1)+1),"")</f>
        <v>5</v>
      </c>
      <c r="AP106" s="189"/>
      <c r="AQ106">
        <f>IFERROR(INDEX('N04-S02'!$C$18:$C$199,2*(ROWS(AQ$102:AQ106)-1)+1),"")</f>
        <v>0</v>
      </c>
      <c r="AR106">
        <f>IFERROR(INDEX('N04-S02'!$L$18:$L$199,2*(ROWS(AR$102:AR106)-1)+1),"")</f>
        <v>0</v>
      </c>
      <c r="AS106">
        <f>IFERROR(INDEX('N04-S02'!$T$18:$T$199,2*(ROWS(AS$102:AS106)-1)+1),"")</f>
        <v>0</v>
      </c>
      <c r="AT106" s="13" t="str">
        <f>IFERROR(INDEX('N04-S02'!$AY$18:$AY$199,2*(ROWS(AT$102:AT106)-1)+1),"")</f>
        <v/>
      </c>
      <c r="AU106" s="13" t="str">
        <f>IFERROR(INDEX('N04-S02'!$AZ$18:$AZ$199,2*(ROWS(AU$102:AU106)-1)+1),"")</f>
        <v/>
      </c>
      <c r="AV106" t="str">
        <f>IFERROR(INDEX('N04-S02'!$BA$18:$BA$199,2*(ROWS(AV$102:AV106)-1)+1),"")</f>
        <v/>
      </c>
      <c r="AW106" t="str">
        <f>IFERROR(INDEX('N04-S02'!$BF$18:$BF$199,2*(ROWS(AW$102:AW106)-1)+1),"")</f>
        <v/>
      </c>
      <c r="AX106" t="s">
        <v>820</v>
      </c>
      <c r="AY106" s="170"/>
      <c r="AZ106" s="170"/>
      <c r="BA106" s="170"/>
      <c r="BB106" s="170"/>
      <c r="BC106" s="170"/>
      <c r="BD106" s="170"/>
      <c r="BE106" s="170"/>
      <c r="BF106" s="170"/>
      <c r="BG106" s="170"/>
      <c r="BH106" s="170"/>
      <c r="BI106" s="170"/>
      <c r="BJ106" s="170"/>
      <c r="BK106" s="170"/>
    </row>
    <row r="107" spans="1:63">
      <c r="A107" s="14">
        <f t="shared" si="14"/>
        <v>0</v>
      </c>
      <c r="B107" t="str">
        <f t="shared" si="15"/>
        <v/>
      </c>
      <c r="C107" t="str">
        <f>IFERROR(IF(INDEX('N04-S02'!$BO$18:$BO$199,2*(ROWS($C$102:C107)-1)+1)="","",INDEX('N04-S02'!$BO$18:$BO$199,2*(ROWS($C$102:C107)-1)+1)),"")</f>
        <v/>
      </c>
      <c r="D107" t="s">
        <v>50</v>
      </c>
      <c r="E107" t="s">
        <v>38</v>
      </c>
      <c r="F107" t="s">
        <v>50</v>
      </c>
      <c r="G107" t="str">
        <f>IFERROR(INDEX('N04-S02'!$BG$18:$BG$199,2*(ROWS(G$102:G107)-1)+1),"")</f>
        <v/>
      </c>
      <c r="H107" s="207"/>
      <c r="I107" s="189"/>
      <c r="J107" s="189"/>
      <c r="K107" s="189"/>
      <c r="L107" s="13" t="str">
        <f ca="1">IFERROR(ROUND(IF($AI107&lt;&gt;"","",INDEX('N04-S02'!$AE$18:$AE$199,2*(ROWS(L$102:L107)-1)+1)),2),"")</f>
        <v/>
      </c>
      <c r="N107" s="13" t="str">
        <f ca="1">IFERROR(ROUND(IF($AI107&lt;&gt;"","",INDEX('N04-S02'!$AH$18:$AH$199,2*(ROWS(N$102:N107)-1)+1)),2),"")</f>
        <v/>
      </c>
      <c r="O107" s="13" t="str">
        <f ca="1">IFERROR(ROUND(IF($AI107&lt;&gt;"","",INDEX('N04-S02'!$AB$18:$AB$199,2*(ROWS(O$102:O107)-1)+1)),2),"")</f>
        <v/>
      </c>
      <c r="P107" s="10" t="str">
        <f ca="1">IFERROR(IF(AI107&lt;&gt;"","",ROUND(INDEX('N04-S02'!$BB$18:$BB$199,2*(ROWS(P$102:P107)-1)+1),3)),"")</f>
        <v/>
      </c>
      <c r="Q107" s="10" t="str">
        <f ca="1">IFERROR(IF(AI107&lt;&gt;"","",ROUND(INDEX('N04-S02'!$BC$18:$BC$199,2*(ROWS(Q$102:Q107)-1)+1),3)),"")</f>
        <v/>
      </c>
      <c r="R107" s="207"/>
      <c r="S107" s="25" t="str">
        <f ca="1">IFERROR(IF(AI107&lt;&gt;"","",INDEX('N04-S02'!$AK$18:$AK$199,2*(ROWS(S$102:S107)-1)+1)),"")</f>
        <v/>
      </c>
      <c r="T107" s="31" t="str">
        <f ca="1">IFERROR(IF(AI107&lt;&gt;"","",INDEX('N04-S02'!$BI$18:$BI$199,2*(ROWS(T$102:T107)-1)+1)),"")</f>
        <v/>
      </c>
      <c r="U107" s="31" t="str">
        <f ca="1">IFERROR(IF(AI107&lt;&gt;"","",INDEX('N04-S02'!$BH$18:$BH$199,2*(ROWS(U$102:U107)-1)+1)),"")</f>
        <v/>
      </c>
      <c r="V107" s="13" t="str">
        <f ca="1">IFERROR(IF(AI107&lt;&gt;"","",INDEX('N04-S02'!$AN$18:$AN$199,2*(ROWS(V$102:V107)-1)+1)),"")</f>
        <v/>
      </c>
      <c r="W107" s="207"/>
      <c r="X107" s="207"/>
      <c r="Y107" s="13">
        <f ca="1">IFERROR(IF(AI107&lt;&gt;"",INDEX('N04-S02'!$AE$18:$AE$199,2*(ROWS(Y$102:Y107)-1)+1),""),"")</f>
        <v>0</v>
      </c>
      <c r="AA107" s="13" t="str">
        <f ca="1">IFERROR(IF($AI107&lt;&gt;"",INDEX('N04-S02'!$AH$18:$AH$199,2*(ROWS(AA$102:AA107)-1)+1),""),"")</f>
        <v/>
      </c>
      <c r="AB107" s="13">
        <f ca="1">IFERROR(IF($AI107&lt;&gt;"",INDEX('N04-S02'!$AB$18:$AB$199,2*(ROWS(AB$102:AB107)-1)+1),""),"")</f>
        <v>0</v>
      </c>
      <c r="AC107" s="10" t="str">
        <f ca="1">IFERROR(IF(AI107&lt;&gt;"",ROUND(INDEX('N04-S02'!$BB$18:$BB$199,2*(ROWS(AC$102:AC107)-1)+1),3),""),"")</f>
        <v/>
      </c>
      <c r="AD107" s="10" t="str">
        <f ca="1">IFERROR(IF(AI107&lt;&gt;"",ROUND(INDEX('N04-S02'!$BC$18:$BC$199,2*(ROWS(AD$102:AD107)-1)+1),3),""),"")</f>
        <v/>
      </c>
      <c r="AE107" s="207"/>
      <c r="AF107" s="25" t="str">
        <f ca="1">IFERROR(IF(AI107&lt;&gt;"",INDEX('N04-S02'!$AK$18:$AK$199,2*(ROWS(AF$102:AF107)-1)+1),""),"")</f>
        <v/>
      </c>
      <c r="AG107" s="31">
        <f ca="1">IFERROR(IF(AI107&lt;&gt;"",INDEX('N04-S02'!$BI$18:$BI$199,2*(ROWS(AG$102:AG107)-1)+1),""),"")</f>
        <v>0</v>
      </c>
      <c r="AH107" s="31" t="str">
        <f ca="1">IFERROR(IF(AI107&lt;&gt;"",INDEX('N04-S02'!$BH$18:$BH$199,2*(ROWS(AH$102:AH107)-1)+1),""),"")</f>
        <v/>
      </c>
      <c r="AI107" t="str">
        <f ca="1">IFERROR(INDEX('N04-S02'!$BQ$18:$BQ$199,2*(ROWS(AI$102:AI107)-1)+1),"")</f>
        <v>Submit for Review</v>
      </c>
      <c r="AJ107" s="25" t="str">
        <f>IFERROR(INDEX('N04-S02'!$BD$18:$BD$199,2*(ROWS(AJ$102:AJ107)-1)+1),"")</f>
        <v/>
      </c>
      <c r="AK107" s="25" t="str">
        <f>IFERROR(INDEX('N04-S02'!$BE$18:$BE$199,2*(ROWS(AK$102:AK107)-1)+1),"")</f>
        <v/>
      </c>
      <c r="AL107" s="207"/>
      <c r="AM107" s="207"/>
      <c r="AN107" s="207"/>
      <c r="AO107">
        <f>IFERROR(INDEX('N04-S02'!$B$18:$B$199,2*(ROWS(AO$102:AO107)-1)+1),"")</f>
        <v>6</v>
      </c>
      <c r="AP107" s="189"/>
      <c r="AQ107">
        <f>IFERROR(INDEX('N04-S02'!$C$18:$C$199,2*(ROWS(AQ$102:AQ107)-1)+1),"")</f>
        <v>0</v>
      </c>
      <c r="AR107">
        <f>IFERROR(INDEX('N04-S02'!$L$18:$L$199,2*(ROWS(AR$102:AR107)-1)+1),"")</f>
        <v>0</v>
      </c>
      <c r="AS107">
        <f>IFERROR(INDEX('N04-S02'!$T$18:$T$199,2*(ROWS(AS$102:AS107)-1)+1),"")</f>
        <v>0</v>
      </c>
      <c r="AT107" s="13" t="str">
        <f>IFERROR(INDEX('N04-S02'!$AY$18:$AY$199,2*(ROWS(AT$102:AT107)-1)+1),"")</f>
        <v/>
      </c>
      <c r="AU107" s="13" t="str">
        <f>IFERROR(INDEX('N04-S02'!$AZ$18:$AZ$199,2*(ROWS(AU$102:AU107)-1)+1),"")</f>
        <v/>
      </c>
      <c r="AV107" t="str">
        <f>IFERROR(INDEX('N04-S02'!$BA$18:$BA$199,2*(ROWS(AV$102:AV107)-1)+1),"")</f>
        <v/>
      </c>
      <c r="AW107" t="str">
        <f>IFERROR(INDEX('N04-S02'!$BF$18:$BF$199,2*(ROWS(AW$102:AW107)-1)+1),"")</f>
        <v/>
      </c>
      <c r="AX107" t="s">
        <v>820</v>
      </c>
      <c r="AY107" s="170"/>
      <c r="AZ107" s="170"/>
      <c r="BA107" s="170"/>
      <c r="BB107" s="170"/>
      <c r="BC107" s="170"/>
      <c r="BD107" s="170"/>
      <c r="BE107" s="170"/>
      <c r="BF107" s="170"/>
      <c r="BG107" s="170"/>
      <c r="BH107" s="170"/>
      <c r="BI107" s="170"/>
      <c r="BJ107" s="170"/>
      <c r="BK107" s="170"/>
    </row>
    <row r="108" spans="1:63">
      <c r="A108" s="14">
        <f t="shared" si="14"/>
        <v>0</v>
      </c>
      <c r="B108" t="str">
        <f t="shared" si="15"/>
        <v/>
      </c>
      <c r="C108" t="str">
        <f>IFERROR(IF(INDEX('N04-S02'!$BO$18:$BO$199,2*(ROWS($C$102:C108)-1)+1)="","",INDEX('N04-S02'!$BO$18:$BO$199,2*(ROWS($C$102:C108)-1)+1)),"")</f>
        <v/>
      </c>
      <c r="D108" t="s">
        <v>50</v>
      </c>
      <c r="E108" t="s">
        <v>38</v>
      </c>
      <c r="F108" t="s">
        <v>50</v>
      </c>
      <c r="G108" t="str">
        <f>IFERROR(INDEX('N04-S02'!$BG$18:$BG$199,2*(ROWS(G$102:G108)-1)+1),"")</f>
        <v/>
      </c>
      <c r="H108" s="207"/>
      <c r="I108" s="189"/>
      <c r="J108" s="189"/>
      <c r="K108" s="189"/>
      <c r="L108" s="13" t="str">
        <f ca="1">IFERROR(ROUND(IF($AI108&lt;&gt;"","",INDEX('N04-S02'!$AE$18:$AE$199,2*(ROWS(L$102:L108)-1)+1)),2),"")</f>
        <v/>
      </c>
      <c r="N108" s="13" t="str">
        <f ca="1">IFERROR(ROUND(IF($AI108&lt;&gt;"","",INDEX('N04-S02'!$AH$18:$AH$199,2*(ROWS(N$102:N108)-1)+1)),2),"")</f>
        <v/>
      </c>
      <c r="O108" s="13" t="str">
        <f ca="1">IFERROR(ROUND(IF($AI108&lt;&gt;"","",INDEX('N04-S02'!$AB$18:$AB$199,2*(ROWS(O$102:O108)-1)+1)),2),"")</f>
        <v/>
      </c>
      <c r="P108" s="10" t="str">
        <f ca="1">IFERROR(IF(AI108&lt;&gt;"","",ROUND(INDEX('N04-S02'!$BB$18:$BB$199,2*(ROWS(P$102:P108)-1)+1),3)),"")</f>
        <v/>
      </c>
      <c r="Q108" s="10" t="str">
        <f ca="1">IFERROR(IF(AI108&lt;&gt;"","",ROUND(INDEX('N04-S02'!$BC$18:$BC$199,2*(ROWS(Q$102:Q108)-1)+1),3)),"")</f>
        <v/>
      </c>
      <c r="R108" s="207"/>
      <c r="S108" s="25" t="str">
        <f ca="1">IFERROR(IF(AI108&lt;&gt;"","",INDEX('N04-S02'!$AK$18:$AK$199,2*(ROWS(S$102:S108)-1)+1)),"")</f>
        <v/>
      </c>
      <c r="T108" s="31" t="str">
        <f ca="1">IFERROR(IF(AI108&lt;&gt;"","",INDEX('N04-S02'!$BI$18:$BI$199,2*(ROWS(T$102:T108)-1)+1)),"")</f>
        <v/>
      </c>
      <c r="U108" s="31" t="str">
        <f ca="1">IFERROR(IF(AI108&lt;&gt;"","",INDEX('N04-S02'!$BH$18:$BH$199,2*(ROWS(U$102:U108)-1)+1)),"")</f>
        <v/>
      </c>
      <c r="V108" s="13" t="str">
        <f ca="1">IFERROR(IF(AI108&lt;&gt;"","",INDEX('N04-S02'!$AN$18:$AN$199,2*(ROWS(V$102:V108)-1)+1)),"")</f>
        <v/>
      </c>
      <c r="W108" s="207"/>
      <c r="X108" s="207"/>
      <c r="Y108" s="13">
        <f ca="1">IFERROR(IF(AI108&lt;&gt;"",INDEX('N04-S02'!$AE$18:$AE$199,2*(ROWS(Y$102:Y108)-1)+1),""),"")</f>
        <v>0</v>
      </c>
      <c r="AA108" s="13" t="str">
        <f ca="1">IFERROR(IF($AI108&lt;&gt;"",INDEX('N04-S02'!$AH$18:$AH$199,2*(ROWS(AA$102:AA108)-1)+1),""),"")</f>
        <v/>
      </c>
      <c r="AB108" s="13">
        <f ca="1">IFERROR(IF($AI108&lt;&gt;"",INDEX('N04-S02'!$AB$18:$AB$199,2*(ROWS(AB$102:AB108)-1)+1),""),"")</f>
        <v>0</v>
      </c>
      <c r="AC108" s="10" t="str">
        <f ca="1">IFERROR(IF(AI108&lt;&gt;"",ROUND(INDEX('N04-S02'!$BB$18:$BB$199,2*(ROWS(AC$102:AC108)-1)+1),3),""),"")</f>
        <v/>
      </c>
      <c r="AD108" s="10" t="str">
        <f ca="1">IFERROR(IF(AI108&lt;&gt;"",ROUND(INDEX('N04-S02'!$BC$18:$BC$199,2*(ROWS(AD$102:AD108)-1)+1),3),""),"")</f>
        <v/>
      </c>
      <c r="AE108" s="207"/>
      <c r="AF108" s="25" t="str">
        <f ca="1">IFERROR(IF(AI108&lt;&gt;"",INDEX('N04-S02'!$AK$18:$AK$199,2*(ROWS(AF$102:AF108)-1)+1),""),"")</f>
        <v/>
      </c>
      <c r="AG108" s="31">
        <f ca="1">IFERROR(IF(AI108&lt;&gt;"",INDEX('N04-S02'!$BI$18:$BI$199,2*(ROWS(AG$102:AG108)-1)+1),""),"")</f>
        <v>0</v>
      </c>
      <c r="AH108" s="31" t="str">
        <f ca="1">IFERROR(IF(AI108&lt;&gt;"",INDEX('N04-S02'!$BH$18:$BH$199,2*(ROWS(AH$102:AH108)-1)+1),""),"")</f>
        <v/>
      </c>
      <c r="AI108" t="str">
        <f ca="1">IFERROR(INDEX('N04-S02'!$BQ$18:$BQ$199,2*(ROWS(AI$102:AI108)-1)+1),"")</f>
        <v>Submit for Review</v>
      </c>
      <c r="AJ108" s="25" t="str">
        <f>IFERROR(INDEX('N04-S02'!$BD$18:$BD$199,2*(ROWS(AJ$102:AJ108)-1)+1),"")</f>
        <v/>
      </c>
      <c r="AK108" s="25" t="str">
        <f>IFERROR(INDEX('N04-S02'!$BE$18:$BE$199,2*(ROWS(AK$102:AK108)-1)+1),"")</f>
        <v/>
      </c>
      <c r="AL108" s="207"/>
      <c r="AM108" s="207"/>
      <c r="AN108" s="207"/>
      <c r="AO108">
        <f>IFERROR(INDEX('N04-S02'!$B$18:$B$199,2*(ROWS(AO$102:AO108)-1)+1),"")</f>
        <v>7</v>
      </c>
      <c r="AP108" s="189"/>
      <c r="AQ108">
        <f>IFERROR(INDEX('N04-S02'!$C$18:$C$199,2*(ROWS(AQ$102:AQ108)-1)+1),"")</f>
        <v>0</v>
      </c>
      <c r="AR108">
        <f>IFERROR(INDEX('N04-S02'!$L$18:$L$199,2*(ROWS(AR$102:AR108)-1)+1),"")</f>
        <v>0</v>
      </c>
      <c r="AS108">
        <f>IFERROR(INDEX('N04-S02'!$T$18:$T$199,2*(ROWS(AS$102:AS108)-1)+1),"")</f>
        <v>0</v>
      </c>
      <c r="AT108" s="13" t="str">
        <f>IFERROR(INDEX('N04-S02'!$AY$18:$AY$199,2*(ROWS(AT$102:AT108)-1)+1),"")</f>
        <v/>
      </c>
      <c r="AU108" s="13" t="str">
        <f>IFERROR(INDEX('N04-S02'!$AZ$18:$AZ$199,2*(ROWS(AU$102:AU108)-1)+1),"")</f>
        <v/>
      </c>
      <c r="AV108" t="str">
        <f>IFERROR(INDEX('N04-S02'!$BA$18:$BA$199,2*(ROWS(AV$102:AV108)-1)+1),"")</f>
        <v/>
      </c>
      <c r="AW108" t="str">
        <f>IFERROR(INDEX('N04-S02'!$BF$18:$BF$199,2*(ROWS(AW$102:AW108)-1)+1),"")</f>
        <v/>
      </c>
      <c r="AX108" t="s">
        <v>820</v>
      </c>
      <c r="AY108" s="170"/>
      <c r="AZ108" s="170"/>
      <c r="BA108" s="170"/>
      <c r="BB108" s="170"/>
      <c r="BC108" s="170"/>
      <c r="BD108" s="170"/>
      <c r="BE108" s="170"/>
      <c r="BF108" s="170"/>
      <c r="BG108" s="170"/>
      <c r="BH108" s="170"/>
      <c r="BI108" s="170"/>
      <c r="BJ108" s="170"/>
      <c r="BK108" s="170"/>
    </row>
    <row r="109" spans="1:63">
      <c r="A109" s="14">
        <f t="shared" si="14"/>
        <v>0</v>
      </c>
      <c r="B109" t="str">
        <f t="shared" si="15"/>
        <v/>
      </c>
      <c r="C109" t="str">
        <f>IFERROR(IF(INDEX('N04-S02'!$BO$18:$BO$199,2*(ROWS($C$102:C109)-1)+1)="","",INDEX('N04-S02'!$BO$18:$BO$199,2*(ROWS($C$102:C109)-1)+1)),"")</f>
        <v/>
      </c>
      <c r="D109" t="s">
        <v>50</v>
      </c>
      <c r="E109" t="s">
        <v>38</v>
      </c>
      <c r="F109" t="s">
        <v>50</v>
      </c>
      <c r="G109" t="str">
        <f>IFERROR(INDEX('N04-S02'!$BG$18:$BG$199,2*(ROWS(G$102:G109)-1)+1),"")</f>
        <v/>
      </c>
      <c r="H109" s="207"/>
      <c r="I109" s="189"/>
      <c r="J109" s="189"/>
      <c r="K109" s="189"/>
      <c r="L109" s="13" t="str">
        <f ca="1">IFERROR(ROUND(IF($AI109&lt;&gt;"","",INDEX('N04-S02'!$AE$18:$AE$199,2*(ROWS(L$102:L109)-1)+1)),2),"")</f>
        <v/>
      </c>
      <c r="N109" s="13" t="str">
        <f ca="1">IFERROR(ROUND(IF($AI109&lt;&gt;"","",INDEX('N04-S02'!$AH$18:$AH$199,2*(ROWS(N$102:N109)-1)+1)),2),"")</f>
        <v/>
      </c>
      <c r="O109" s="13" t="str">
        <f ca="1">IFERROR(ROUND(IF($AI109&lt;&gt;"","",INDEX('N04-S02'!$AB$18:$AB$199,2*(ROWS(O$102:O109)-1)+1)),2),"")</f>
        <v/>
      </c>
      <c r="P109" s="10" t="str">
        <f ca="1">IFERROR(IF(AI109&lt;&gt;"","",ROUND(INDEX('N04-S02'!$BB$18:$BB$199,2*(ROWS(P$102:P109)-1)+1),3)),"")</f>
        <v/>
      </c>
      <c r="Q109" s="10" t="str">
        <f ca="1">IFERROR(IF(AI109&lt;&gt;"","",ROUND(INDEX('N04-S02'!$BC$18:$BC$199,2*(ROWS(Q$102:Q109)-1)+1),3)),"")</f>
        <v/>
      </c>
      <c r="R109" s="207"/>
      <c r="S109" s="25" t="str">
        <f ca="1">IFERROR(IF(AI109&lt;&gt;"","",INDEX('N04-S02'!$AK$18:$AK$199,2*(ROWS(S$102:S109)-1)+1)),"")</f>
        <v/>
      </c>
      <c r="T109" s="31" t="str">
        <f ca="1">IFERROR(IF(AI109&lt;&gt;"","",INDEX('N04-S02'!$BI$18:$BI$199,2*(ROWS(T$102:T109)-1)+1)),"")</f>
        <v/>
      </c>
      <c r="U109" s="31" t="str">
        <f ca="1">IFERROR(IF(AI109&lt;&gt;"","",INDEX('N04-S02'!$BH$18:$BH$199,2*(ROWS(U$102:U109)-1)+1)),"")</f>
        <v/>
      </c>
      <c r="V109" s="13" t="str">
        <f ca="1">IFERROR(IF(AI109&lt;&gt;"","",INDEX('N04-S02'!$AN$18:$AN$199,2*(ROWS(V$102:V109)-1)+1)),"")</f>
        <v/>
      </c>
      <c r="W109" s="207"/>
      <c r="X109" s="207"/>
      <c r="Y109" s="13">
        <f ca="1">IFERROR(IF(AI109&lt;&gt;"",INDEX('N04-S02'!$AE$18:$AE$199,2*(ROWS(Y$102:Y109)-1)+1),""),"")</f>
        <v>0</v>
      </c>
      <c r="AA109" s="13" t="str">
        <f ca="1">IFERROR(IF($AI109&lt;&gt;"",INDEX('N04-S02'!$AH$18:$AH$199,2*(ROWS(AA$102:AA109)-1)+1),""),"")</f>
        <v/>
      </c>
      <c r="AB109" s="13">
        <f ca="1">IFERROR(IF($AI109&lt;&gt;"",INDEX('N04-S02'!$AB$18:$AB$199,2*(ROWS(AB$102:AB109)-1)+1),""),"")</f>
        <v>0</v>
      </c>
      <c r="AC109" s="10" t="str">
        <f ca="1">IFERROR(IF(AI109&lt;&gt;"",ROUND(INDEX('N04-S02'!$BB$18:$BB$199,2*(ROWS(AC$102:AC109)-1)+1),3),""),"")</f>
        <v/>
      </c>
      <c r="AD109" s="10" t="str">
        <f ca="1">IFERROR(IF(AI109&lt;&gt;"",ROUND(INDEX('N04-S02'!$BC$18:$BC$199,2*(ROWS(AD$102:AD109)-1)+1),3),""),"")</f>
        <v/>
      </c>
      <c r="AE109" s="207"/>
      <c r="AF109" s="25" t="str">
        <f ca="1">IFERROR(IF(AI109&lt;&gt;"",INDEX('N04-S02'!$AK$18:$AK$199,2*(ROWS(AF$102:AF109)-1)+1),""),"")</f>
        <v/>
      </c>
      <c r="AG109" s="31">
        <f ca="1">IFERROR(IF(AI109&lt;&gt;"",INDEX('N04-S02'!$BI$18:$BI$199,2*(ROWS(AG$102:AG109)-1)+1),""),"")</f>
        <v>0</v>
      </c>
      <c r="AH109" s="31" t="str">
        <f ca="1">IFERROR(IF(AI109&lt;&gt;"",INDEX('N04-S02'!$BH$18:$BH$199,2*(ROWS(AH$102:AH109)-1)+1),""),"")</f>
        <v/>
      </c>
      <c r="AI109" t="str">
        <f ca="1">IFERROR(INDEX('N04-S02'!$BQ$18:$BQ$199,2*(ROWS(AI$102:AI109)-1)+1),"")</f>
        <v>Submit for Review</v>
      </c>
      <c r="AJ109" s="25" t="str">
        <f>IFERROR(INDEX('N04-S02'!$BD$18:$BD$199,2*(ROWS(AJ$102:AJ109)-1)+1),"")</f>
        <v/>
      </c>
      <c r="AK109" s="25" t="str">
        <f>IFERROR(INDEX('N04-S02'!$BE$18:$BE$199,2*(ROWS(AK$102:AK109)-1)+1),"")</f>
        <v/>
      </c>
      <c r="AL109" s="207"/>
      <c r="AM109" s="207"/>
      <c r="AN109" s="207"/>
      <c r="AO109">
        <f>IFERROR(INDEX('N04-S02'!$B$18:$B$199,2*(ROWS(AO$102:AO109)-1)+1),"")</f>
        <v>8</v>
      </c>
      <c r="AP109" s="189"/>
      <c r="AQ109">
        <f>IFERROR(INDEX('N04-S02'!$C$18:$C$199,2*(ROWS(AQ$102:AQ109)-1)+1),"")</f>
        <v>0</v>
      </c>
      <c r="AR109">
        <f>IFERROR(INDEX('N04-S02'!$L$18:$L$199,2*(ROWS(AR$102:AR109)-1)+1),"")</f>
        <v>0</v>
      </c>
      <c r="AS109">
        <f>IFERROR(INDEX('N04-S02'!$T$18:$T$199,2*(ROWS(AS$102:AS109)-1)+1),"")</f>
        <v>0</v>
      </c>
      <c r="AT109" s="13" t="str">
        <f>IFERROR(INDEX('N04-S02'!$AY$18:$AY$199,2*(ROWS(AT$102:AT109)-1)+1),"")</f>
        <v/>
      </c>
      <c r="AU109" s="13" t="str">
        <f>IFERROR(INDEX('N04-S02'!$AZ$18:$AZ$199,2*(ROWS(AU$102:AU109)-1)+1),"")</f>
        <v/>
      </c>
      <c r="AV109" t="str">
        <f>IFERROR(INDEX('N04-S02'!$BA$18:$BA$199,2*(ROWS(AV$102:AV109)-1)+1),"")</f>
        <v/>
      </c>
      <c r="AW109" t="str">
        <f>IFERROR(INDEX('N04-S02'!$BF$18:$BF$199,2*(ROWS(AW$102:AW109)-1)+1),"")</f>
        <v/>
      </c>
      <c r="AX109" t="s">
        <v>820</v>
      </c>
      <c r="AY109" s="170"/>
      <c r="AZ109" s="170"/>
      <c r="BA109" s="170"/>
      <c r="BB109" s="170"/>
      <c r="BC109" s="170"/>
      <c r="BD109" s="170"/>
      <c r="BE109" s="170"/>
      <c r="BF109" s="170"/>
      <c r="BG109" s="170"/>
      <c r="BH109" s="170"/>
      <c r="BI109" s="170"/>
      <c r="BJ109" s="170"/>
      <c r="BK109" s="170"/>
    </row>
    <row r="110" spans="1:63">
      <c r="A110" s="14">
        <f t="shared" si="14"/>
        <v>0</v>
      </c>
      <c r="B110" t="str">
        <f t="shared" si="15"/>
        <v/>
      </c>
      <c r="C110" t="str">
        <f>IFERROR(IF(INDEX('N04-S02'!$BO$18:$BO$199,2*(ROWS($C$102:C110)-1)+1)="","",INDEX('N04-S02'!$BO$18:$BO$199,2*(ROWS($C$102:C110)-1)+1)),"")</f>
        <v/>
      </c>
      <c r="D110" t="s">
        <v>50</v>
      </c>
      <c r="E110" t="s">
        <v>38</v>
      </c>
      <c r="F110" t="s">
        <v>50</v>
      </c>
      <c r="G110" t="str">
        <f>IFERROR(INDEX('N04-S02'!$BG$18:$BG$199,2*(ROWS(G$102:G110)-1)+1),"")</f>
        <v/>
      </c>
      <c r="H110" s="207"/>
      <c r="I110" s="189"/>
      <c r="J110" s="189"/>
      <c r="K110" s="189"/>
      <c r="L110" s="13" t="str">
        <f ca="1">IFERROR(ROUND(IF($AI110&lt;&gt;"","",INDEX('N04-S02'!$AE$18:$AE$199,2*(ROWS(L$102:L110)-1)+1)),2),"")</f>
        <v/>
      </c>
      <c r="N110" s="13" t="str">
        <f ca="1">IFERROR(ROUND(IF($AI110&lt;&gt;"","",INDEX('N04-S02'!$AH$18:$AH$199,2*(ROWS(N$102:N110)-1)+1)),2),"")</f>
        <v/>
      </c>
      <c r="O110" s="13" t="str">
        <f ca="1">IFERROR(ROUND(IF($AI110&lt;&gt;"","",INDEX('N04-S02'!$AB$18:$AB$199,2*(ROWS(O$102:O110)-1)+1)),2),"")</f>
        <v/>
      </c>
      <c r="P110" s="10" t="str">
        <f ca="1">IFERROR(IF(AI110&lt;&gt;"","",ROUND(INDEX('N04-S02'!$BB$18:$BB$199,2*(ROWS(P$102:P110)-1)+1),3)),"")</f>
        <v/>
      </c>
      <c r="Q110" s="10" t="str">
        <f ca="1">IFERROR(IF(AI110&lt;&gt;"","",ROUND(INDEX('N04-S02'!$BC$18:$BC$199,2*(ROWS(Q$102:Q110)-1)+1),3)),"")</f>
        <v/>
      </c>
      <c r="R110" s="207"/>
      <c r="S110" s="25" t="str">
        <f ca="1">IFERROR(IF(AI110&lt;&gt;"","",INDEX('N04-S02'!$AK$18:$AK$199,2*(ROWS(S$102:S110)-1)+1)),"")</f>
        <v/>
      </c>
      <c r="T110" s="31" t="str">
        <f ca="1">IFERROR(IF(AI110&lt;&gt;"","",INDEX('N04-S02'!$BI$18:$BI$199,2*(ROWS(T$102:T110)-1)+1)),"")</f>
        <v/>
      </c>
      <c r="U110" s="31" t="str">
        <f ca="1">IFERROR(IF(AI110&lt;&gt;"","",INDEX('N04-S02'!$BH$18:$BH$199,2*(ROWS(U$102:U110)-1)+1)),"")</f>
        <v/>
      </c>
      <c r="V110" s="13" t="str">
        <f ca="1">IFERROR(IF(AI110&lt;&gt;"","",INDEX('N04-S02'!$AN$18:$AN$199,2*(ROWS(V$102:V110)-1)+1)),"")</f>
        <v/>
      </c>
      <c r="W110" s="207"/>
      <c r="X110" s="207"/>
      <c r="Y110" s="13">
        <f ca="1">IFERROR(IF(AI110&lt;&gt;"",INDEX('N04-S02'!$AE$18:$AE$199,2*(ROWS(Y$102:Y110)-1)+1),""),"")</f>
        <v>0</v>
      </c>
      <c r="AA110" s="13" t="str">
        <f ca="1">IFERROR(IF($AI110&lt;&gt;"",INDEX('N04-S02'!$AH$18:$AH$199,2*(ROWS(AA$102:AA110)-1)+1),""),"")</f>
        <v/>
      </c>
      <c r="AB110" s="13">
        <f ca="1">IFERROR(IF($AI110&lt;&gt;"",INDEX('N04-S02'!$AB$18:$AB$199,2*(ROWS(AB$102:AB110)-1)+1),""),"")</f>
        <v>0</v>
      </c>
      <c r="AC110" s="10" t="str">
        <f ca="1">IFERROR(IF(AI110&lt;&gt;"",ROUND(INDEX('N04-S02'!$BB$18:$BB$199,2*(ROWS(AC$102:AC110)-1)+1),3),""),"")</f>
        <v/>
      </c>
      <c r="AD110" s="10" t="str">
        <f ca="1">IFERROR(IF(AI110&lt;&gt;"",ROUND(INDEX('N04-S02'!$BC$18:$BC$199,2*(ROWS(AD$102:AD110)-1)+1),3),""),"")</f>
        <v/>
      </c>
      <c r="AE110" s="207"/>
      <c r="AF110" s="25" t="str">
        <f ca="1">IFERROR(IF(AI110&lt;&gt;"",INDEX('N04-S02'!$AK$18:$AK$199,2*(ROWS(AF$102:AF110)-1)+1),""),"")</f>
        <v/>
      </c>
      <c r="AG110" s="31">
        <f ca="1">IFERROR(IF(AI110&lt;&gt;"",INDEX('N04-S02'!$BI$18:$BI$199,2*(ROWS(AG$102:AG110)-1)+1),""),"")</f>
        <v>0</v>
      </c>
      <c r="AH110" s="31" t="str">
        <f ca="1">IFERROR(IF(AI110&lt;&gt;"",INDEX('N04-S02'!$BH$18:$BH$199,2*(ROWS(AH$102:AH110)-1)+1),""),"")</f>
        <v/>
      </c>
      <c r="AI110" t="str">
        <f ca="1">IFERROR(INDEX('N04-S02'!$BQ$18:$BQ$199,2*(ROWS(AI$102:AI110)-1)+1),"")</f>
        <v>Submit for Review</v>
      </c>
      <c r="AJ110" s="25" t="str">
        <f>IFERROR(INDEX('N04-S02'!$BD$18:$BD$199,2*(ROWS(AJ$102:AJ110)-1)+1),"")</f>
        <v/>
      </c>
      <c r="AK110" s="25" t="str">
        <f>IFERROR(INDEX('N04-S02'!$BE$18:$BE$199,2*(ROWS(AK$102:AK110)-1)+1),"")</f>
        <v/>
      </c>
      <c r="AL110" s="207"/>
      <c r="AM110" s="207"/>
      <c r="AN110" s="207"/>
      <c r="AO110">
        <f>IFERROR(INDEX('N04-S02'!$B$18:$B$199,2*(ROWS(AO$102:AO110)-1)+1),"")</f>
        <v>9</v>
      </c>
      <c r="AP110" s="189"/>
      <c r="AQ110">
        <f>IFERROR(INDEX('N04-S02'!$C$18:$C$199,2*(ROWS(AQ$102:AQ110)-1)+1),"")</f>
        <v>0</v>
      </c>
      <c r="AR110">
        <f>IFERROR(INDEX('N04-S02'!$L$18:$L$199,2*(ROWS(AR$102:AR110)-1)+1),"")</f>
        <v>0</v>
      </c>
      <c r="AS110">
        <f>IFERROR(INDEX('N04-S02'!$T$18:$T$199,2*(ROWS(AS$102:AS110)-1)+1),"")</f>
        <v>0</v>
      </c>
      <c r="AT110" s="13" t="str">
        <f>IFERROR(INDEX('N04-S02'!$AY$18:$AY$199,2*(ROWS(AT$102:AT110)-1)+1),"")</f>
        <v/>
      </c>
      <c r="AU110" s="13" t="str">
        <f>IFERROR(INDEX('N04-S02'!$AZ$18:$AZ$199,2*(ROWS(AU$102:AU110)-1)+1),"")</f>
        <v/>
      </c>
      <c r="AV110" t="str">
        <f>IFERROR(INDEX('N04-S02'!$BA$18:$BA$199,2*(ROWS(AV$102:AV110)-1)+1),"")</f>
        <v/>
      </c>
      <c r="AW110" t="str">
        <f>IFERROR(INDEX('N04-S02'!$BF$18:$BF$199,2*(ROWS(AW$102:AW110)-1)+1),"")</f>
        <v/>
      </c>
      <c r="AX110" t="s">
        <v>820</v>
      </c>
      <c r="AY110" s="170"/>
      <c r="AZ110" s="170"/>
      <c r="BA110" s="170"/>
      <c r="BB110" s="170"/>
      <c r="BC110" s="170"/>
      <c r="BD110" s="170"/>
      <c r="BE110" s="170"/>
      <c r="BF110" s="170"/>
      <c r="BG110" s="170"/>
      <c r="BH110" s="170"/>
      <c r="BI110" s="170"/>
      <c r="BJ110" s="170"/>
      <c r="BK110" s="170"/>
    </row>
    <row r="111" spans="1:63">
      <c r="A111" s="14">
        <f t="shared" si="14"/>
        <v>0</v>
      </c>
      <c r="B111" t="str">
        <f t="shared" si="15"/>
        <v/>
      </c>
      <c r="C111" t="str">
        <f>IFERROR(IF(INDEX('N04-S02'!$BO$18:$BO$199,2*(ROWS($C$102:C111)-1)+1)="","",INDEX('N04-S02'!$BO$18:$BO$199,2*(ROWS($C$102:C111)-1)+1)),"")</f>
        <v/>
      </c>
      <c r="D111" t="s">
        <v>50</v>
      </c>
      <c r="E111" t="s">
        <v>38</v>
      </c>
      <c r="F111" t="s">
        <v>50</v>
      </c>
      <c r="G111" t="str">
        <f>IFERROR(INDEX('N04-S02'!$BG$18:$BG$199,2*(ROWS(G$102:G111)-1)+1),"")</f>
        <v/>
      </c>
      <c r="H111" s="207"/>
      <c r="I111" s="189"/>
      <c r="J111" s="189"/>
      <c r="K111" s="189"/>
      <c r="L111" s="13" t="str">
        <f ca="1">IFERROR(ROUND(IF($AI111&lt;&gt;"","",INDEX('N04-S02'!$AE$18:$AE$199,2*(ROWS(L$102:L111)-1)+1)),2),"")</f>
        <v/>
      </c>
      <c r="N111" s="13" t="str">
        <f ca="1">IFERROR(ROUND(IF($AI111&lt;&gt;"","",INDEX('N04-S02'!$AH$18:$AH$199,2*(ROWS(N$102:N111)-1)+1)),2),"")</f>
        <v/>
      </c>
      <c r="O111" s="13" t="str">
        <f ca="1">IFERROR(ROUND(IF($AI111&lt;&gt;"","",INDEX('N04-S02'!$AB$18:$AB$199,2*(ROWS(O$102:O111)-1)+1)),2),"")</f>
        <v/>
      </c>
      <c r="P111" s="10" t="str">
        <f ca="1">IFERROR(IF(AI111&lt;&gt;"","",ROUND(INDEX('N04-S02'!$BB$18:$BB$199,2*(ROWS(P$102:P111)-1)+1),3)),"")</f>
        <v/>
      </c>
      <c r="Q111" s="10" t="str">
        <f ca="1">IFERROR(IF(AI111&lt;&gt;"","",ROUND(INDEX('N04-S02'!$BC$18:$BC$199,2*(ROWS(Q$102:Q111)-1)+1),3)),"")</f>
        <v/>
      </c>
      <c r="R111" s="207"/>
      <c r="S111" s="25" t="str">
        <f ca="1">IFERROR(IF(AI111&lt;&gt;"","",INDEX('N04-S02'!$AK$18:$AK$199,2*(ROWS(S$102:S111)-1)+1)),"")</f>
        <v/>
      </c>
      <c r="T111" s="31" t="str">
        <f ca="1">IFERROR(IF(AI111&lt;&gt;"","",INDEX('N04-S02'!$BI$18:$BI$199,2*(ROWS(T$102:T111)-1)+1)),"")</f>
        <v/>
      </c>
      <c r="U111" s="31" t="str">
        <f ca="1">IFERROR(IF(AI111&lt;&gt;"","",INDEX('N04-S02'!$BH$18:$BH$199,2*(ROWS(U$102:U111)-1)+1)),"")</f>
        <v/>
      </c>
      <c r="V111" s="13" t="str">
        <f ca="1">IFERROR(IF(AI111&lt;&gt;"","",INDEX('N04-S02'!$AN$18:$AN$199,2*(ROWS(V$102:V111)-1)+1)),"")</f>
        <v/>
      </c>
      <c r="W111" s="207"/>
      <c r="X111" s="207"/>
      <c r="Y111" s="13">
        <f ca="1">IFERROR(IF(AI111&lt;&gt;"",INDEX('N04-S02'!$AE$18:$AE$199,2*(ROWS(Y$102:Y111)-1)+1),""),"")</f>
        <v>0</v>
      </c>
      <c r="AA111" s="13" t="str">
        <f ca="1">IFERROR(IF($AI111&lt;&gt;"",INDEX('N04-S02'!$AH$18:$AH$199,2*(ROWS(AA$102:AA111)-1)+1),""),"")</f>
        <v/>
      </c>
      <c r="AB111" s="13">
        <f ca="1">IFERROR(IF($AI111&lt;&gt;"",INDEX('N04-S02'!$AB$18:$AB$199,2*(ROWS(AB$102:AB111)-1)+1),""),"")</f>
        <v>0</v>
      </c>
      <c r="AC111" s="10" t="str">
        <f ca="1">IFERROR(IF(AI111&lt;&gt;"",ROUND(INDEX('N04-S02'!$BB$18:$BB$199,2*(ROWS(AC$102:AC111)-1)+1),3),""),"")</f>
        <v/>
      </c>
      <c r="AD111" s="10" t="str">
        <f ca="1">IFERROR(IF(AI111&lt;&gt;"",ROUND(INDEX('N04-S02'!$BC$18:$BC$199,2*(ROWS(AD$102:AD111)-1)+1),3),""),"")</f>
        <v/>
      </c>
      <c r="AE111" s="207"/>
      <c r="AF111" s="25" t="str">
        <f ca="1">IFERROR(IF(AI111&lt;&gt;"",INDEX('N04-S02'!$AK$18:$AK$199,2*(ROWS(AF$102:AF111)-1)+1),""),"")</f>
        <v/>
      </c>
      <c r="AG111" s="31">
        <f ca="1">IFERROR(IF(AI111&lt;&gt;"",INDEX('N04-S02'!$BI$18:$BI$199,2*(ROWS(AG$102:AG111)-1)+1),""),"")</f>
        <v>0</v>
      </c>
      <c r="AH111" s="31" t="str">
        <f ca="1">IFERROR(IF(AI111&lt;&gt;"",INDEX('N04-S02'!$BH$18:$BH$199,2*(ROWS(AH$102:AH111)-1)+1),""),"")</f>
        <v/>
      </c>
      <c r="AI111" t="str">
        <f ca="1">IFERROR(INDEX('N04-S02'!$BQ$18:$BQ$199,2*(ROWS(AI$102:AI111)-1)+1),"")</f>
        <v>Submit for Review</v>
      </c>
      <c r="AJ111" s="25" t="str">
        <f>IFERROR(INDEX('N04-S02'!$BD$18:$BD$199,2*(ROWS(AJ$102:AJ111)-1)+1),"")</f>
        <v/>
      </c>
      <c r="AK111" s="25" t="str">
        <f>IFERROR(INDEX('N04-S02'!$BE$18:$BE$199,2*(ROWS(AK$102:AK111)-1)+1),"")</f>
        <v/>
      </c>
      <c r="AL111" s="207"/>
      <c r="AM111" s="207"/>
      <c r="AN111" s="207"/>
      <c r="AO111">
        <f>IFERROR(INDEX('N04-S02'!$B$18:$B$199,2*(ROWS(AO$102:AO111)-1)+1),"")</f>
        <v>10</v>
      </c>
      <c r="AP111" s="189"/>
      <c r="AQ111">
        <f>IFERROR(INDEX('N04-S02'!$C$18:$C$199,2*(ROWS(AQ$102:AQ111)-1)+1),"")</f>
        <v>0</v>
      </c>
      <c r="AR111">
        <f>IFERROR(INDEX('N04-S02'!$L$18:$L$199,2*(ROWS(AR$102:AR111)-1)+1),"")</f>
        <v>0</v>
      </c>
      <c r="AS111">
        <f>IFERROR(INDEX('N04-S02'!$T$18:$T$199,2*(ROWS(AS$102:AS111)-1)+1),"")</f>
        <v>0</v>
      </c>
      <c r="AT111" s="13" t="str">
        <f>IFERROR(INDEX('N04-S02'!$AY$18:$AY$199,2*(ROWS(AT$102:AT111)-1)+1),"")</f>
        <v/>
      </c>
      <c r="AU111" s="13" t="str">
        <f>IFERROR(INDEX('N04-S02'!$AZ$18:$AZ$199,2*(ROWS(AU$102:AU111)-1)+1),"")</f>
        <v/>
      </c>
      <c r="AV111" t="str">
        <f>IFERROR(INDEX('N04-S02'!$BA$18:$BA$199,2*(ROWS(AV$102:AV111)-1)+1),"")</f>
        <v/>
      </c>
      <c r="AW111" t="str">
        <f>IFERROR(INDEX('N04-S02'!$BF$18:$BF$199,2*(ROWS(AW$102:AW111)-1)+1),"")</f>
        <v/>
      </c>
      <c r="AX111" t="s">
        <v>820</v>
      </c>
      <c r="AY111" s="170"/>
      <c r="AZ111" s="170"/>
      <c r="BA111" s="170"/>
      <c r="BB111" s="170"/>
      <c r="BC111" s="170"/>
      <c r="BD111" s="170"/>
      <c r="BE111" s="170"/>
      <c r="BF111" s="170"/>
      <c r="BG111" s="170"/>
      <c r="BH111" s="170"/>
      <c r="BI111" s="170"/>
      <c r="BJ111" s="170"/>
      <c r="BK111" s="170"/>
    </row>
    <row r="112" spans="1:63">
      <c r="A112" s="14">
        <f t="shared" si="14"/>
        <v>0</v>
      </c>
      <c r="B112" t="str">
        <f t="shared" si="15"/>
        <v/>
      </c>
      <c r="C112" t="str">
        <f>IFERROR(IF(INDEX('N04-S02'!$BO$18:$BO$199,2*(ROWS($C$102:C112)-1)+1)="","",INDEX('N04-S02'!$BO$18:$BO$199,2*(ROWS($C$102:C112)-1)+1)),"")</f>
        <v/>
      </c>
      <c r="D112" t="s">
        <v>50</v>
      </c>
      <c r="E112" t="s">
        <v>38</v>
      </c>
      <c r="F112" t="s">
        <v>50</v>
      </c>
      <c r="G112">
        <f>IFERROR(INDEX('N04-S02'!$BG$18:$BG$199,2*(ROWS(G$102:G112)-1)+1),"")</f>
        <v>0</v>
      </c>
      <c r="H112" s="207"/>
      <c r="I112" s="189"/>
      <c r="J112" s="189"/>
      <c r="K112" s="189"/>
      <c r="L112" s="13" t="str">
        <f>IFERROR(ROUND(IF($AI112&lt;&gt;"","",INDEX('N04-S02'!$AE$18:$AE$199,2*(ROWS(L$102:L112)-1)+1)),2),"")</f>
        <v/>
      </c>
      <c r="N112" s="13" t="str">
        <f>IFERROR(ROUND(IF($AI112&lt;&gt;"","",INDEX('N04-S02'!$AH$18:$AH$199,2*(ROWS(N$102:N112)-1)+1)),2),"")</f>
        <v/>
      </c>
      <c r="O112" s="13" t="str">
        <f>IFERROR(ROUND(IF($AI112&lt;&gt;"","",INDEX('N04-S02'!$AB$18:$AB$199,2*(ROWS(O$102:O112)-1)+1)),2),"")</f>
        <v/>
      </c>
      <c r="P112" s="10" t="str">
        <f>IFERROR(IF(AI112&lt;&gt;"","",ROUND(INDEX('N04-S02'!$BB$18:$BB$199,2*(ROWS(P$102:P112)-1)+1),3)),"")</f>
        <v/>
      </c>
      <c r="Q112" s="10" t="str">
        <f>IFERROR(IF(AI112&lt;&gt;"","",ROUND(INDEX('N04-S02'!$BC$18:$BC$199,2*(ROWS(Q$102:Q112)-1)+1),3)),"")</f>
        <v/>
      </c>
      <c r="R112" s="207"/>
      <c r="S112" s="25" t="str">
        <f>IFERROR(IF(AI112&lt;&gt;"","",INDEX('N04-S02'!$AK$18:$AK$199,2*(ROWS(S$102:S112)-1)+1)),"")</f>
        <v/>
      </c>
      <c r="T112" s="31" t="str">
        <f>IFERROR(IF(AI112&lt;&gt;"","",INDEX('N04-S02'!$BI$18:$BI$199,2*(ROWS(T$102:T112)-1)+1)),"")</f>
        <v/>
      </c>
      <c r="U112" s="31" t="str">
        <f>IFERROR(IF(AI112&lt;&gt;"","",INDEX('N04-S02'!$BH$18:$BH$199,2*(ROWS(U$102:U112)-1)+1)),"")</f>
        <v/>
      </c>
      <c r="V112" s="13" t="str">
        <f>IFERROR(IF(AI112&lt;&gt;"","",INDEX('N04-S02'!$AN$18:$AN$199,2*(ROWS(V$102:V112)-1)+1)),"")</f>
        <v/>
      </c>
      <c r="W112" s="207"/>
      <c r="X112" s="207"/>
      <c r="Y112" s="13">
        <f>IFERROR(IF(AI112&lt;&gt;"",INDEX('N04-S02'!$AE$18:$AE$199,2*(ROWS(Y$102:Y112)-1)+1),""),"")</f>
        <v>0</v>
      </c>
      <c r="AA112" s="13">
        <f>IFERROR(IF($AI112&lt;&gt;"",INDEX('N04-S02'!$AH$18:$AH$199,2*(ROWS(AA$102:AA112)-1)+1),""),"")</f>
        <v>0</v>
      </c>
      <c r="AB112" s="13">
        <f>IFERROR(IF($AI112&lt;&gt;"",INDEX('N04-S02'!$AB$18:$AB$199,2*(ROWS(AB$102:AB112)-1)+1),""),"")</f>
        <v>0</v>
      </c>
      <c r="AC112" s="10">
        <f>IFERROR(IF(AI112&lt;&gt;"",ROUND(INDEX('N04-S02'!$BB$18:$BB$199,2*(ROWS(AC$102:AC112)-1)+1),3),""),"")</f>
        <v>0</v>
      </c>
      <c r="AD112" s="10">
        <f>IFERROR(IF(AI112&lt;&gt;"",ROUND(INDEX('N04-S02'!$BC$18:$BC$199,2*(ROWS(AD$102:AD112)-1)+1),3),""),"")</f>
        <v>0</v>
      </c>
      <c r="AE112" s="207"/>
      <c r="AF112" s="25">
        <f>IFERROR(IF(AI112&lt;&gt;"",INDEX('N04-S02'!$AK$18:$AK$199,2*(ROWS(AF$102:AF112)-1)+1),""),"")</f>
        <v>0</v>
      </c>
      <c r="AG112" s="31">
        <f>IFERROR(IF(AI112&lt;&gt;"",INDEX('N04-S02'!$BI$18:$BI$199,2*(ROWS(AG$102:AG112)-1)+1),""),"")</f>
        <v>0</v>
      </c>
      <c r="AH112" s="31">
        <f>IFERROR(IF(AI112&lt;&gt;"",INDEX('N04-S02'!$BH$18:$BH$199,2*(ROWS(AH$102:AH112)-1)+1),""),"")</f>
        <v>0</v>
      </c>
      <c r="AI112">
        <f>IFERROR(INDEX('N04-S02'!$BQ$18:$BQ$199,2*(ROWS(AI$102:AI112)-1)+1),"")</f>
        <v>0</v>
      </c>
      <c r="AJ112" s="25">
        <f>IFERROR(INDEX('N04-S02'!$BD$18:$BD$199,2*(ROWS(AJ$102:AJ112)-1)+1),"")</f>
        <v>0</v>
      </c>
      <c r="AK112" s="25">
        <f>IFERROR(INDEX('N04-S02'!$BE$18:$BE$199,2*(ROWS(AK$102:AK112)-1)+1),"")</f>
        <v>0</v>
      </c>
      <c r="AL112" s="207"/>
      <c r="AM112" s="207"/>
      <c r="AN112" s="207"/>
      <c r="AO112">
        <f>IFERROR(INDEX('N04-S02'!$B$18:$B$199,2*(ROWS(AO$102:AO112)-1)+1),"")</f>
        <v>0</v>
      </c>
      <c r="AP112" s="189"/>
      <c r="AQ112">
        <f>IFERROR(INDEX('N04-S02'!$C$18:$C$199,2*(ROWS(AQ$102:AQ112)-1)+1),"")</f>
        <v>0</v>
      </c>
      <c r="AR112">
        <f>IFERROR(INDEX('N04-S02'!$L$18:$L$199,2*(ROWS(AR$102:AR112)-1)+1),"")</f>
        <v>0</v>
      </c>
      <c r="AS112">
        <f>IFERROR(INDEX('N04-S02'!$T$18:$T$199,2*(ROWS(AS$102:AS112)-1)+1),"")</f>
        <v>0</v>
      </c>
      <c r="AT112" s="13">
        <f>IFERROR(INDEX('N04-S02'!$AY$18:$AY$199,2*(ROWS(AT$102:AT112)-1)+1),"")</f>
        <v>0</v>
      </c>
      <c r="AU112" s="13">
        <f>IFERROR(INDEX('N04-S02'!$AZ$18:$AZ$199,2*(ROWS(AU$102:AU112)-1)+1),"")</f>
        <v>0</v>
      </c>
      <c r="AV112">
        <f>IFERROR(INDEX('N04-S02'!$BA$18:$BA$199,2*(ROWS(AV$102:AV112)-1)+1),"")</f>
        <v>0</v>
      </c>
      <c r="AW112">
        <f>IFERROR(INDEX('N04-S02'!$BF$18:$BF$199,2*(ROWS(AW$102:AW112)-1)+1),"")</f>
        <v>0</v>
      </c>
      <c r="AX112" t="s">
        <v>820</v>
      </c>
      <c r="AY112" s="170"/>
      <c r="AZ112" s="170"/>
      <c r="BA112" s="170"/>
      <c r="BB112" s="170"/>
      <c r="BC112" s="170"/>
      <c r="BD112" s="170"/>
      <c r="BE112" s="170"/>
      <c r="BF112" s="170"/>
      <c r="BG112" s="170"/>
      <c r="BH112" s="170"/>
      <c r="BI112" s="170"/>
      <c r="BJ112" s="170"/>
      <c r="BK112" s="170"/>
    </row>
    <row r="113" spans="1:63">
      <c r="A113" s="14">
        <f t="shared" si="14"/>
        <v>0</v>
      </c>
      <c r="B113" t="str">
        <f t="shared" si="15"/>
        <v/>
      </c>
      <c r="C113" t="str">
        <f>IFERROR(IF(INDEX('N04-S02'!$BO$18:$BO$199,2*(ROWS($C$102:C113)-1)+1)="","",INDEX('N04-S02'!$BO$18:$BO$199,2*(ROWS($C$102:C113)-1)+1)),"")</f>
        <v/>
      </c>
      <c r="D113" t="s">
        <v>50</v>
      </c>
      <c r="E113" t="s">
        <v>38</v>
      </c>
      <c r="F113" t="s">
        <v>50</v>
      </c>
      <c r="G113">
        <f>IFERROR(INDEX('N04-S02'!$BG$18:$BG$199,2*(ROWS(G$102:G113)-1)+1),"")</f>
        <v>0</v>
      </c>
      <c r="H113" s="207"/>
      <c r="I113" s="189"/>
      <c r="J113" s="189"/>
      <c r="K113" s="189"/>
      <c r="L113" s="13" t="str">
        <f>IFERROR(ROUND(IF($AI113&lt;&gt;"","",INDEX('N04-S02'!$AE$18:$AE$199,2*(ROWS(L$102:L113)-1)+1)),2),"")</f>
        <v/>
      </c>
      <c r="N113" s="13" t="str">
        <f>IFERROR(ROUND(IF($AI113&lt;&gt;"","",INDEX('N04-S02'!$AH$18:$AH$199,2*(ROWS(N$102:N113)-1)+1)),2),"")</f>
        <v/>
      </c>
      <c r="O113" s="13" t="str">
        <f>IFERROR(ROUND(IF($AI113&lt;&gt;"","",INDEX('N04-S02'!$AB$18:$AB$199,2*(ROWS(O$102:O113)-1)+1)),2),"")</f>
        <v/>
      </c>
      <c r="P113" s="10" t="str">
        <f>IFERROR(IF(AI113&lt;&gt;"","",ROUND(INDEX('N04-S02'!$BB$18:$BB$199,2*(ROWS(P$102:P113)-1)+1),3)),"")</f>
        <v/>
      </c>
      <c r="Q113" s="10" t="str">
        <f>IFERROR(IF(AI113&lt;&gt;"","",ROUND(INDEX('N04-S02'!$BC$18:$BC$199,2*(ROWS(Q$102:Q113)-1)+1),3)),"")</f>
        <v/>
      </c>
      <c r="R113" s="207"/>
      <c r="S113" s="25" t="str">
        <f>IFERROR(IF(AI113&lt;&gt;"","",INDEX('N04-S02'!$AK$18:$AK$199,2*(ROWS(S$102:S113)-1)+1)),"")</f>
        <v/>
      </c>
      <c r="T113" s="31" t="str">
        <f>IFERROR(IF(AI113&lt;&gt;"","",INDEX('N04-S02'!$BI$18:$BI$199,2*(ROWS(T$102:T113)-1)+1)),"")</f>
        <v/>
      </c>
      <c r="U113" s="31" t="str">
        <f>IFERROR(IF(AI113&lt;&gt;"","",INDEX('N04-S02'!$BH$18:$BH$199,2*(ROWS(U$102:U113)-1)+1)),"")</f>
        <v/>
      </c>
      <c r="V113" s="13" t="str">
        <f>IFERROR(IF(AI113&lt;&gt;"","",INDEX('N04-S02'!$AN$18:$AN$199,2*(ROWS(V$102:V113)-1)+1)),"")</f>
        <v/>
      </c>
      <c r="W113" s="207"/>
      <c r="X113" s="207"/>
      <c r="Y113" s="13">
        <f>IFERROR(IF(AI113&lt;&gt;"",INDEX('N04-S02'!$AE$18:$AE$199,2*(ROWS(Y$102:Y113)-1)+1),""),"")</f>
        <v>0</v>
      </c>
      <c r="AA113" s="13">
        <f>IFERROR(IF($AI113&lt;&gt;"",INDEX('N04-S02'!$AH$18:$AH$199,2*(ROWS(AA$102:AA113)-1)+1),""),"")</f>
        <v>0</v>
      </c>
      <c r="AB113" s="13">
        <f>IFERROR(IF($AI113&lt;&gt;"",INDEX('N04-S02'!$AB$18:$AB$199,2*(ROWS(AB$102:AB113)-1)+1),""),"")</f>
        <v>0</v>
      </c>
      <c r="AC113" s="10">
        <f>IFERROR(IF(AI113&lt;&gt;"",ROUND(INDEX('N04-S02'!$BB$18:$BB$199,2*(ROWS(AC$102:AC113)-1)+1),3),""),"")</f>
        <v>0</v>
      </c>
      <c r="AD113" s="10">
        <f>IFERROR(IF(AI113&lt;&gt;"",ROUND(INDEX('N04-S02'!$BC$18:$BC$199,2*(ROWS(AD$102:AD113)-1)+1),3),""),"")</f>
        <v>0</v>
      </c>
      <c r="AE113" s="207"/>
      <c r="AF113" s="25">
        <f>IFERROR(IF(AI113&lt;&gt;"",INDEX('N04-S02'!$AK$18:$AK$199,2*(ROWS(AF$102:AF113)-1)+1),""),"")</f>
        <v>0</v>
      </c>
      <c r="AG113" s="31">
        <f>IFERROR(IF(AI113&lt;&gt;"",INDEX('N04-S02'!$BI$18:$BI$199,2*(ROWS(AG$102:AG113)-1)+1),""),"")</f>
        <v>0</v>
      </c>
      <c r="AH113" s="31">
        <f>IFERROR(IF(AI113&lt;&gt;"",INDEX('N04-S02'!$BH$18:$BH$199,2*(ROWS(AH$102:AH113)-1)+1),""),"")</f>
        <v>0</v>
      </c>
      <c r="AI113">
        <f>IFERROR(INDEX('N04-S02'!$BQ$18:$BQ$199,2*(ROWS(AI$102:AI113)-1)+1),"")</f>
        <v>0</v>
      </c>
      <c r="AJ113" s="25">
        <f>IFERROR(INDEX('N04-S02'!$BD$18:$BD$199,2*(ROWS(AJ$102:AJ113)-1)+1),"")</f>
        <v>0</v>
      </c>
      <c r="AK113" s="25">
        <f>IFERROR(INDEX('N04-S02'!$BE$18:$BE$199,2*(ROWS(AK$102:AK113)-1)+1),"")</f>
        <v>0</v>
      </c>
      <c r="AL113" s="207"/>
      <c r="AM113" s="207"/>
      <c r="AN113" s="207"/>
      <c r="AO113">
        <f>IFERROR(INDEX('N04-S02'!$B$18:$B$199,2*(ROWS(AO$102:AO113)-1)+1),"")</f>
        <v>0</v>
      </c>
      <c r="AP113" s="189"/>
      <c r="AQ113">
        <f>IFERROR(INDEX('N04-S02'!$C$18:$C$199,2*(ROWS(AQ$102:AQ113)-1)+1),"")</f>
        <v>0</v>
      </c>
      <c r="AR113">
        <f>IFERROR(INDEX('N04-S02'!$L$18:$L$199,2*(ROWS(AR$102:AR113)-1)+1),"")</f>
        <v>0</v>
      </c>
      <c r="AS113">
        <f>IFERROR(INDEX('N04-S02'!$T$18:$T$199,2*(ROWS(AS$102:AS113)-1)+1),"")</f>
        <v>0</v>
      </c>
      <c r="AT113" s="13">
        <f>IFERROR(INDEX('N04-S02'!$AY$18:$AY$199,2*(ROWS(AT$102:AT113)-1)+1),"")</f>
        <v>0</v>
      </c>
      <c r="AU113" s="13">
        <f>IFERROR(INDEX('N04-S02'!$AZ$18:$AZ$199,2*(ROWS(AU$102:AU113)-1)+1),"")</f>
        <v>0</v>
      </c>
      <c r="AV113">
        <f>IFERROR(INDEX('N04-S02'!$BA$18:$BA$199,2*(ROWS(AV$102:AV113)-1)+1),"")</f>
        <v>0</v>
      </c>
      <c r="AW113">
        <f>IFERROR(INDEX('N04-S02'!$BF$18:$BF$199,2*(ROWS(AW$102:AW113)-1)+1),"")</f>
        <v>0</v>
      </c>
      <c r="AX113" t="s">
        <v>820</v>
      </c>
      <c r="AY113" s="170"/>
      <c r="AZ113" s="170"/>
      <c r="BA113" s="170"/>
      <c r="BB113" s="170"/>
      <c r="BC113" s="170"/>
      <c r="BD113" s="170"/>
      <c r="BE113" s="170"/>
      <c r="BF113" s="170"/>
      <c r="BG113" s="170"/>
      <c r="BH113" s="170"/>
      <c r="BI113" s="170"/>
      <c r="BJ113" s="170"/>
      <c r="BK113" s="170"/>
    </row>
    <row r="114" spans="1:63">
      <c r="A114" s="14">
        <f t="shared" si="14"/>
        <v>0</v>
      </c>
      <c r="B114" t="str">
        <f t="shared" si="15"/>
        <v/>
      </c>
      <c r="C114" t="str">
        <f>IFERROR(IF(INDEX('N04-S02'!$BO$18:$BO$199,2*(ROWS($C$102:C114)-1)+1)="","",INDEX('N04-S02'!$BO$18:$BO$199,2*(ROWS($C$102:C114)-1)+1)),"")</f>
        <v/>
      </c>
      <c r="D114" t="s">
        <v>50</v>
      </c>
      <c r="E114" t="s">
        <v>38</v>
      </c>
      <c r="F114" t="s">
        <v>50</v>
      </c>
      <c r="G114">
        <f>IFERROR(INDEX('N04-S02'!$BG$18:$BG$199,2*(ROWS(G$102:G114)-1)+1),"")</f>
        <v>0</v>
      </c>
      <c r="H114" s="207"/>
      <c r="I114" s="189"/>
      <c r="J114" s="189"/>
      <c r="K114" s="189"/>
      <c r="L114" s="13" t="str">
        <f>IFERROR(ROUND(IF($AI114&lt;&gt;"","",INDEX('N04-S02'!$AE$18:$AE$199,2*(ROWS(L$102:L114)-1)+1)),2),"")</f>
        <v/>
      </c>
      <c r="N114" s="13" t="str">
        <f>IFERROR(ROUND(IF($AI114&lt;&gt;"","",INDEX('N04-S02'!$AH$18:$AH$199,2*(ROWS(N$102:N114)-1)+1)),2),"")</f>
        <v/>
      </c>
      <c r="O114" s="13" t="str">
        <f>IFERROR(ROUND(IF($AI114&lt;&gt;"","",INDEX('N04-S02'!$AB$18:$AB$199,2*(ROWS(O$102:O114)-1)+1)),2),"")</f>
        <v/>
      </c>
      <c r="P114" s="10" t="str">
        <f>IFERROR(IF(AI114&lt;&gt;"","",ROUND(INDEX('N04-S02'!$BB$18:$BB$199,2*(ROWS(P$102:P114)-1)+1),3)),"")</f>
        <v/>
      </c>
      <c r="Q114" s="10" t="str">
        <f>IFERROR(IF(AI114&lt;&gt;"","",ROUND(INDEX('N04-S02'!$BC$18:$BC$199,2*(ROWS(Q$102:Q114)-1)+1),3)),"")</f>
        <v/>
      </c>
      <c r="R114" s="207"/>
      <c r="S114" s="25" t="str">
        <f>IFERROR(IF(AI114&lt;&gt;"","",INDEX('N04-S02'!$AK$18:$AK$199,2*(ROWS(S$102:S114)-1)+1)),"")</f>
        <v/>
      </c>
      <c r="T114" s="31" t="str">
        <f>IFERROR(IF(AI114&lt;&gt;"","",INDEX('N04-S02'!$BI$18:$BI$199,2*(ROWS(T$102:T114)-1)+1)),"")</f>
        <v/>
      </c>
      <c r="U114" s="31" t="str">
        <f>IFERROR(IF(AI114&lt;&gt;"","",INDEX('N04-S02'!$BH$18:$BH$199,2*(ROWS(U$102:U114)-1)+1)),"")</f>
        <v/>
      </c>
      <c r="V114" s="13" t="str">
        <f>IFERROR(IF(AI114&lt;&gt;"","",INDEX('N04-S02'!$AN$18:$AN$199,2*(ROWS(V$102:V114)-1)+1)),"")</f>
        <v/>
      </c>
      <c r="W114" s="207"/>
      <c r="X114" s="207"/>
      <c r="Y114" s="13">
        <f>IFERROR(IF(AI114&lt;&gt;"",INDEX('N04-S02'!$AE$18:$AE$199,2*(ROWS(Y$102:Y114)-1)+1),""),"")</f>
        <v>0</v>
      </c>
      <c r="AA114" s="13">
        <f>IFERROR(IF($AI114&lt;&gt;"",INDEX('N04-S02'!$AH$18:$AH$199,2*(ROWS(AA$102:AA114)-1)+1),""),"")</f>
        <v>0</v>
      </c>
      <c r="AB114" s="13">
        <f>IFERROR(IF($AI114&lt;&gt;"",INDEX('N04-S02'!$AB$18:$AB$199,2*(ROWS(AB$102:AB114)-1)+1),""),"")</f>
        <v>0</v>
      </c>
      <c r="AC114" s="10">
        <f>IFERROR(IF(AI114&lt;&gt;"",ROUND(INDEX('N04-S02'!$BB$18:$BB$199,2*(ROWS(AC$102:AC114)-1)+1),3),""),"")</f>
        <v>0</v>
      </c>
      <c r="AD114" s="10">
        <f>IFERROR(IF(AI114&lt;&gt;"",ROUND(INDEX('N04-S02'!$BC$18:$BC$199,2*(ROWS(AD$102:AD114)-1)+1),3),""),"")</f>
        <v>0</v>
      </c>
      <c r="AE114" s="207"/>
      <c r="AF114" s="25">
        <f>IFERROR(IF(AI114&lt;&gt;"",INDEX('N04-S02'!$AK$18:$AK$199,2*(ROWS(AF$102:AF114)-1)+1),""),"")</f>
        <v>0</v>
      </c>
      <c r="AG114" s="31">
        <f>IFERROR(IF(AI114&lt;&gt;"",INDEX('N04-S02'!$BI$18:$BI$199,2*(ROWS(AG$102:AG114)-1)+1),""),"")</f>
        <v>0</v>
      </c>
      <c r="AH114" s="31">
        <f>IFERROR(IF(AI114&lt;&gt;"",INDEX('N04-S02'!$BH$18:$BH$199,2*(ROWS(AH$102:AH114)-1)+1),""),"")</f>
        <v>0</v>
      </c>
      <c r="AI114">
        <f>IFERROR(INDEX('N04-S02'!$BQ$18:$BQ$199,2*(ROWS(AI$102:AI114)-1)+1),"")</f>
        <v>0</v>
      </c>
      <c r="AJ114" s="25">
        <f>IFERROR(INDEX('N04-S02'!$BD$18:$BD$199,2*(ROWS(AJ$102:AJ114)-1)+1),"")</f>
        <v>0</v>
      </c>
      <c r="AK114" s="25">
        <f>IFERROR(INDEX('N04-S02'!$BE$18:$BE$199,2*(ROWS(AK$102:AK114)-1)+1),"")</f>
        <v>0</v>
      </c>
      <c r="AL114" s="207"/>
      <c r="AM114" s="207"/>
      <c r="AN114" s="207"/>
      <c r="AO114">
        <f>IFERROR(INDEX('N04-S02'!$B$18:$B$199,2*(ROWS(AO$102:AO114)-1)+1),"")</f>
        <v>0</v>
      </c>
      <c r="AP114" s="189"/>
      <c r="AQ114">
        <f>IFERROR(INDEX('N04-S02'!$C$18:$C$199,2*(ROWS(AQ$102:AQ114)-1)+1),"")</f>
        <v>0</v>
      </c>
      <c r="AR114">
        <f>IFERROR(INDEX('N04-S02'!$L$18:$L$199,2*(ROWS(AR$102:AR114)-1)+1),"")</f>
        <v>0</v>
      </c>
      <c r="AS114">
        <f>IFERROR(INDEX('N04-S02'!$T$18:$T$199,2*(ROWS(AS$102:AS114)-1)+1),"")</f>
        <v>0</v>
      </c>
      <c r="AT114" s="13">
        <f>IFERROR(INDEX('N04-S02'!$AY$18:$AY$199,2*(ROWS(AT$102:AT114)-1)+1),"")</f>
        <v>0</v>
      </c>
      <c r="AU114" s="13">
        <f>IFERROR(INDEX('N04-S02'!$AZ$18:$AZ$199,2*(ROWS(AU$102:AU114)-1)+1),"")</f>
        <v>0</v>
      </c>
      <c r="AV114">
        <f>IFERROR(INDEX('N04-S02'!$BA$18:$BA$199,2*(ROWS(AV$102:AV114)-1)+1),"")</f>
        <v>0</v>
      </c>
      <c r="AW114">
        <f>IFERROR(INDEX('N04-S02'!$BF$18:$BF$199,2*(ROWS(AW$102:AW114)-1)+1),"")</f>
        <v>0</v>
      </c>
      <c r="AX114" t="s">
        <v>820</v>
      </c>
      <c r="AY114" s="170"/>
      <c r="AZ114" s="170"/>
      <c r="BA114" s="170"/>
      <c r="BB114" s="170"/>
      <c r="BC114" s="170"/>
      <c r="BD114" s="170"/>
      <c r="BE114" s="170"/>
      <c r="BF114" s="170"/>
      <c r="BG114" s="170"/>
      <c r="BH114" s="170"/>
      <c r="BI114" s="170"/>
      <c r="BJ114" s="170"/>
      <c r="BK114" s="170"/>
    </row>
    <row r="115" spans="1:63">
      <c r="A115" s="14">
        <f t="shared" si="14"/>
        <v>0</v>
      </c>
      <c r="B115" t="str">
        <f t="shared" si="15"/>
        <v/>
      </c>
      <c r="C115" t="str">
        <f>IFERROR(IF(INDEX('N04-S02'!$BO$18:$BO$199,2*(ROWS($C$102:C115)-1)+1)="","",INDEX('N04-S02'!$BO$18:$BO$199,2*(ROWS($C$102:C115)-1)+1)),"")</f>
        <v/>
      </c>
      <c r="D115" t="s">
        <v>50</v>
      </c>
      <c r="E115" t="s">
        <v>38</v>
      </c>
      <c r="F115" t="s">
        <v>50</v>
      </c>
      <c r="G115">
        <f>IFERROR(INDEX('N04-S02'!$BG$18:$BG$199,2*(ROWS(G$102:G115)-1)+1),"")</f>
        <v>0</v>
      </c>
      <c r="H115" s="207"/>
      <c r="I115" s="189"/>
      <c r="J115" s="189"/>
      <c r="K115" s="189"/>
      <c r="L115" s="13" t="str">
        <f>IFERROR(ROUND(IF($AI115&lt;&gt;"","",INDEX('N04-S02'!$AE$18:$AE$199,2*(ROWS(L$102:L115)-1)+1)),2),"")</f>
        <v/>
      </c>
      <c r="N115" s="13" t="str">
        <f>IFERROR(ROUND(IF($AI115&lt;&gt;"","",INDEX('N04-S02'!$AH$18:$AH$199,2*(ROWS(N$102:N115)-1)+1)),2),"")</f>
        <v/>
      </c>
      <c r="O115" s="13" t="str">
        <f>IFERROR(ROUND(IF($AI115&lt;&gt;"","",INDEX('N04-S02'!$AB$18:$AB$199,2*(ROWS(O$102:O115)-1)+1)),2),"")</f>
        <v/>
      </c>
      <c r="P115" s="10" t="str">
        <f>IFERROR(IF(AI115&lt;&gt;"","",ROUND(INDEX('N04-S02'!$BB$18:$BB$199,2*(ROWS(P$102:P115)-1)+1),3)),"")</f>
        <v/>
      </c>
      <c r="Q115" s="10" t="str">
        <f>IFERROR(IF(AI115&lt;&gt;"","",ROUND(INDEX('N04-S02'!$BC$18:$BC$199,2*(ROWS(Q$102:Q115)-1)+1),3)),"")</f>
        <v/>
      </c>
      <c r="R115" s="207"/>
      <c r="S115" s="25" t="str">
        <f>IFERROR(IF(AI115&lt;&gt;"","",INDEX('N04-S02'!$AK$18:$AK$199,2*(ROWS(S$102:S115)-1)+1)),"")</f>
        <v/>
      </c>
      <c r="T115" s="31" t="str">
        <f>IFERROR(IF(AI115&lt;&gt;"","",INDEX('N04-S02'!$BI$18:$BI$199,2*(ROWS(T$102:T115)-1)+1)),"")</f>
        <v/>
      </c>
      <c r="U115" s="31" t="str">
        <f>IFERROR(IF(AI115&lt;&gt;"","",INDEX('N04-S02'!$BH$18:$BH$199,2*(ROWS(U$102:U115)-1)+1)),"")</f>
        <v/>
      </c>
      <c r="V115" s="13" t="str">
        <f>IFERROR(IF(AI115&lt;&gt;"","",INDEX('N04-S02'!$AN$18:$AN$199,2*(ROWS(V$102:V115)-1)+1)),"")</f>
        <v/>
      </c>
      <c r="W115" s="207"/>
      <c r="X115" s="207"/>
      <c r="Y115" s="13">
        <f>IFERROR(IF(AI115&lt;&gt;"",INDEX('N04-S02'!$AE$18:$AE$199,2*(ROWS(Y$102:Y115)-1)+1),""),"")</f>
        <v>0</v>
      </c>
      <c r="AA115" s="13">
        <f>IFERROR(IF($AI115&lt;&gt;"",INDEX('N04-S02'!$AH$18:$AH$199,2*(ROWS(AA$102:AA115)-1)+1),""),"")</f>
        <v>0</v>
      </c>
      <c r="AB115" s="13">
        <f>IFERROR(IF($AI115&lt;&gt;"",INDEX('N04-S02'!$AB$18:$AB$199,2*(ROWS(AB$102:AB115)-1)+1),""),"")</f>
        <v>0</v>
      </c>
      <c r="AC115" s="10">
        <f>IFERROR(IF(AI115&lt;&gt;"",ROUND(INDEX('N04-S02'!$BB$18:$BB$199,2*(ROWS(AC$102:AC115)-1)+1),3),""),"")</f>
        <v>0</v>
      </c>
      <c r="AD115" s="10">
        <f>IFERROR(IF(AI115&lt;&gt;"",ROUND(INDEX('N04-S02'!$BC$18:$BC$199,2*(ROWS(AD$102:AD115)-1)+1),3),""),"")</f>
        <v>0</v>
      </c>
      <c r="AE115" s="207"/>
      <c r="AF115" s="25">
        <f>IFERROR(IF(AI115&lt;&gt;"",INDEX('N04-S02'!$AK$18:$AK$199,2*(ROWS(AF$102:AF115)-1)+1),""),"")</f>
        <v>0</v>
      </c>
      <c r="AG115" s="31">
        <f>IFERROR(IF(AI115&lt;&gt;"",INDEX('N04-S02'!$BI$18:$BI$199,2*(ROWS(AG$102:AG115)-1)+1),""),"")</f>
        <v>0</v>
      </c>
      <c r="AH115" s="31">
        <f>IFERROR(IF(AI115&lt;&gt;"",INDEX('N04-S02'!$BH$18:$BH$199,2*(ROWS(AH$102:AH115)-1)+1),""),"")</f>
        <v>0</v>
      </c>
      <c r="AI115">
        <f>IFERROR(INDEX('N04-S02'!$BQ$18:$BQ$199,2*(ROWS(AI$102:AI115)-1)+1),"")</f>
        <v>0</v>
      </c>
      <c r="AJ115" s="25">
        <f>IFERROR(INDEX('N04-S02'!$BD$18:$BD$199,2*(ROWS(AJ$102:AJ115)-1)+1),"")</f>
        <v>0</v>
      </c>
      <c r="AK115" s="25">
        <f>IFERROR(INDEX('N04-S02'!$BE$18:$BE$199,2*(ROWS(AK$102:AK115)-1)+1),"")</f>
        <v>0</v>
      </c>
      <c r="AL115" s="207"/>
      <c r="AM115" s="207"/>
      <c r="AN115" s="207"/>
      <c r="AO115">
        <f>IFERROR(INDEX('N04-S02'!$B$18:$B$199,2*(ROWS(AO$102:AO115)-1)+1),"")</f>
        <v>0</v>
      </c>
      <c r="AP115" s="189"/>
      <c r="AQ115">
        <f>IFERROR(INDEX('N04-S02'!$C$18:$C$199,2*(ROWS(AQ$102:AQ115)-1)+1),"")</f>
        <v>0</v>
      </c>
      <c r="AR115">
        <f>IFERROR(INDEX('N04-S02'!$L$18:$L$199,2*(ROWS(AR$102:AR115)-1)+1),"")</f>
        <v>0</v>
      </c>
      <c r="AS115">
        <f>IFERROR(INDEX('N04-S02'!$T$18:$T$199,2*(ROWS(AS$102:AS115)-1)+1),"")</f>
        <v>0</v>
      </c>
      <c r="AT115" s="13">
        <f>IFERROR(INDEX('N04-S02'!$AY$18:$AY$199,2*(ROWS(AT$102:AT115)-1)+1),"")</f>
        <v>0</v>
      </c>
      <c r="AU115" s="13">
        <f>IFERROR(INDEX('N04-S02'!$AZ$18:$AZ$199,2*(ROWS(AU$102:AU115)-1)+1),"")</f>
        <v>0</v>
      </c>
      <c r="AV115">
        <f>IFERROR(INDEX('N04-S02'!$BA$18:$BA$199,2*(ROWS(AV$102:AV115)-1)+1),"")</f>
        <v>0</v>
      </c>
      <c r="AW115">
        <f>IFERROR(INDEX('N04-S02'!$BF$18:$BF$199,2*(ROWS(AW$102:AW115)-1)+1),"")</f>
        <v>0</v>
      </c>
      <c r="AX115" t="s">
        <v>820</v>
      </c>
      <c r="AY115" s="170"/>
      <c r="AZ115" s="170"/>
      <c r="BA115" s="170"/>
      <c r="BB115" s="170"/>
      <c r="BC115" s="170"/>
      <c r="BD115" s="170"/>
      <c r="BE115" s="170"/>
      <c r="BF115" s="170"/>
      <c r="BG115" s="170"/>
      <c r="BH115" s="170"/>
      <c r="BI115" s="170"/>
      <c r="BJ115" s="170"/>
      <c r="BK115" s="170"/>
    </row>
    <row r="116" spans="1:63" ht="14.25" customHeight="1">
      <c r="A116" s="14">
        <f t="shared" si="14"/>
        <v>0</v>
      </c>
      <c r="B116" t="str">
        <f t="shared" si="15"/>
        <v/>
      </c>
      <c r="C116" t="str">
        <f>IFERROR(IF(INDEX('N04-S02'!$BO$18:$BO$199,2*(ROWS($C$102:C116)-1)+1)="","",INDEX('N04-S02'!$BO$18:$BO$199,2*(ROWS($C$102:C116)-1)+1)),"")</f>
        <v/>
      </c>
      <c r="D116" t="s">
        <v>50</v>
      </c>
      <c r="E116" t="s">
        <v>38</v>
      </c>
      <c r="F116" t="s">
        <v>50</v>
      </c>
      <c r="G116">
        <f>IFERROR(INDEX('N04-S02'!$BG$18:$BG$199,2*(ROWS(G$102:G116)-1)+1),"")</f>
        <v>0</v>
      </c>
      <c r="H116" s="207"/>
      <c r="I116" s="189"/>
      <c r="J116" s="189"/>
      <c r="K116" s="189"/>
      <c r="L116" s="13" t="str">
        <f>IFERROR(ROUND(IF($AI116&lt;&gt;"","",INDEX('N04-S02'!$AE$18:$AE$199,2*(ROWS(L$102:L116)-1)+1)),2),"")</f>
        <v/>
      </c>
      <c r="N116" s="13" t="str">
        <f>IFERROR(ROUND(IF($AI116&lt;&gt;"","",INDEX('N04-S02'!$AH$18:$AH$199,2*(ROWS(N$102:N116)-1)+1)),2),"")</f>
        <v/>
      </c>
      <c r="O116" s="13" t="str">
        <f>IFERROR(ROUND(IF($AI116&lt;&gt;"","",INDEX('N04-S02'!$AB$18:$AB$199,2*(ROWS(O$102:O116)-1)+1)),2),"")</f>
        <v/>
      </c>
      <c r="P116" s="10" t="str">
        <f>IFERROR(IF(AI116&lt;&gt;"","",ROUND(INDEX('N04-S02'!$BB$18:$BB$199,2*(ROWS(P$102:P116)-1)+1),3)),"")</f>
        <v/>
      </c>
      <c r="Q116" s="10" t="str">
        <f>IFERROR(IF(AI116&lt;&gt;"","",ROUND(INDEX('N04-S02'!$BC$18:$BC$199,2*(ROWS(Q$102:Q116)-1)+1),3)),"")</f>
        <v/>
      </c>
      <c r="R116" s="207"/>
      <c r="S116" s="25" t="str">
        <f>IFERROR(IF(AI116&lt;&gt;"","",INDEX('N04-S02'!$AK$18:$AK$199,2*(ROWS(S$102:S116)-1)+1)),"")</f>
        <v/>
      </c>
      <c r="T116" s="31" t="str">
        <f>IFERROR(IF(AI116&lt;&gt;"","",INDEX('N04-S02'!$BI$18:$BI$199,2*(ROWS(T$102:T116)-1)+1)),"")</f>
        <v/>
      </c>
      <c r="U116" s="31" t="str">
        <f>IFERROR(IF(AI116&lt;&gt;"","",INDEX('N04-S02'!$BH$18:$BH$199,2*(ROWS(U$102:U116)-1)+1)),"")</f>
        <v/>
      </c>
      <c r="V116" s="13" t="str">
        <f>IFERROR(IF(AI116&lt;&gt;"","",INDEX('N04-S02'!$AN$18:$AN$199,2*(ROWS(V$102:V116)-1)+1)),"")</f>
        <v/>
      </c>
      <c r="W116" s="207"/>
      <c r="X116" s="207"/>
      <c r="Y116" s="13">
        <f>IFERROR(IF(AI116&lt;&gt;"",INDEX('N04-S02'!$AE$18:$AE$199,2*(ROWS(Y$102:Y116)-1)+1),""),"")</f>
        <v>0</v>
      </c>
      <c r="AA116" s="13">
        <f>IFERROR(IF($AI116&lt;&gt;"",INDEX('N04-S02'!$AH$18:$AH$199,2*(ROWS(AA$102:AA116)-1)+1),""),"")</f>
        <v>0</v>
      </c>
      <c r="AB116" s="13">
        <f>IFERROR(IF($AI116&lt;&gt;"",INDEX('N04-S02'!$AB$18:$AB$199,2*(ROWS(AB$102:AB116)-1)+1),""),"")</f>
        <v>0</v>
      </c>
      <c r="AC116" s="10">
        <f>IFERROR(IF(AI116&lt;&gt;"",ROUND(INDEX('N04-S02'!$BB$18:$BB$199,2*(ROWS(AC$102:AC116)-1)+1),3),""),"")</f>
        <v>0</v>
      </c>
      <c r="AD116" s="10">
        <f>IFERROR(IF(AI116&lt;&gt;"",ROUND(INDEX('N04-S02'!$BC$18:$BC$199,2*(ROWS(AD$102:AD116)-1)+1),3),""),"")</f>
        <v>0</v>
      </c>
      <c r="AE116" s="207"/>
      <c r="AF116" s="25">
        <f>IFERROR(IF(AI116&lt;&gt;"",INDEX('N04-S02'!$AK$18:$AK$199,2*(ROWS(AF$102:AF116)-1)+1),""),"")</f>
        <v>0</v>
      </c>
      <c r="AG116" s="31">
        <f>IFERROR(IF(AI116&lt;&gt;"",INDEX('N04-S02'!$BI$18:$BI$199,2*(ROWS(AG$102:AG116)-1)+1),""),"")</f>
        <v>0</v>
      </c>
      <c r="AH116" s="31">
        <f>IFERROR(IF(AI116&lt;&gt;"",INDEX('N04-S02'!$BH$18:$BH$199,2*(ROWS(AH$102:AH116)-1)+1),""),"")</f>
        <v>0</v>
      </c>
      <c r="AI116">
        <f>IFERROR(INDEX('N04-S02'!$BQ$18:$BQ$199,2*(ROWS(AI$102:AI116)-1)+1),"")</f>
        <v>0</v>
      </c>
      <c r="AJ116" s="25">
        <f>IFERROR(INDEX('N04-S02'!$BD$18:$BD$199,2*(ROWS(AJ$102:AJ116)-1)+1),"")</f>
        <v>0</v>
      </c>
      <c r="AK116" s="25">
        <f>IFERROR(INDEX('N04-S02'!$BE$18:$BE$199,2*(ROWS(AK$102:AK116)-1)+1),"")</f>
        <v>0</v>
      </c>
      <c r="AL116" s="207"/>
      <c r="AM116" s="207"/>
      <c r="AN116" s="207"/>
      <c r="AO116">
        <f>IFERROR(INDEX('N04-S02'!$B$18:$B$199,2*(ROWS(AO$102:AO116)-1)+1),"")</f>
        <v>0</v>
      </c>
      <c r="AP116" s="189"/>
      <c r="AQ116">
        <f>IFERROR(INDEX('N04-S02'!$C$18:$C$199,2*(ROWS(AQ$102:AQ116)-1)+1),"")</f>
        <v>0</v>
      </c>
      <c r="AR116">
        <f>IFERROR(INDEX('N04-S02'!$L$18:$L$199,2*(ROWS(AR$102:AR116)-1)+1),"")</f>
        <v>0</v>
      </c>
      <c r="AS116">
        <f>IFERROR(INDEX('N04-S02'!$T$18:$T$199,2*(ROWS(AS$102:AS116)-1)+1),"")</f>
        <v>0</v>
      </c>
      <c r="AT116" s="13">
        <f>IFERROR(INDEX('N04-S02'!$AY$18:$AY$199,2*(ROWS(AT$102:AT116)-1)+1),"")</f>
        <v>0</v>
      </c>
      <c r="AU116" s="13">
        <f>IFERROR(INDEX('N04-S02'!$AZ$18:$AZ$199,2*(ROWS(AU$102:AU116)-1)+1),"")</f>
        <v>0</v>
      </c>
      <c r="AV116">
        <f>IFERROR(INDEX('N04-S02'!$BA$18:$BA$199,2*(ROWS(AV$102:AV116)-1)+1),"")</f>
        <v>0</v>
      </c>
      <c r="AW116">
        <f>IFERROR(INDEX('N04-S02'!$BF$18:$BF$199,2*(ROWS(AW$102:AW116)-1)+1),"")</f>
        <v>0</v>
      </c>
      <c r="AX116" t="s">
        <v>820</v>
      </c>
      <c r="AY116" s="170"/>
      <c r="AZ116" s="170"/>
      <c r="BA116" s="170"/>
      <c r="BB116" s="170"/>
      <c r="BC116" s="170"/>
      <c r="BD116" s="170"/>
      <c r="BE116" s="170"/>
      <c r="BF116" s="170"/>
      <c r="BG116" s="170"/>
      <c r="BH116" s="170"/>
      <c r="BI116" s="170"/>
      <c r="BJ116" s="170"/>
      <c r="BK116" s="170"/>
    </row>
    <row r="117" spans="1:63">
      <c r="A117" s="223" t="str">
        <f>"Custom "&amp;N4S3</f>
        <v>Custom Compressed Air / Process</v>
      </c>
      <c r="B117" s="30"/>
      <c r="C117" s="30"/>
      <c r="D117" s="30"/>
      <c r="E117" s="30"/>
      <c r="F117" s="30"/>
      <c r="G117" s="30"/>
      <c r="H117" s="208"/>
      <c r="I117" s="30"/>
      <c r="J117" s="203"/>
      <c r="K117" s="203"/>
      <c r="L117" s="203"/>
      <c r="M117" s="30"/>
      <c r="N117" s="30"/>
      <c r="O117" s="30"/>
      <c r="P117" s="211"/>
      <c r="Q117" s="211"/>
      <c r="R117" s="208"/>
      <c r="S117" s="208"/>
      <c r="T117" s="214"/>
      <c r="U117" s="214"/>
      <c r="V117" s="203"/>
      <c r="W117" s="203"/>
      <c r="X117" s="203"/>
      <c r="Y117" s="203"/>
      <c r="Z117" s="30"/>
      <c r="AA117" s="30"/>
      <c r="AB117" s="30"/>
      <c r="AC117" s="211"/>
      <c r="AD117" s="211"/>
      <c r="AE117" s="208"/>
      <c r="AF117" s="208"/>
      <c r="AG117" s="214"/>
      <c r="AH117" s="214"/>
      <c r="AI117" s="30"/>
      <c r="AJ117" s="208"/>
      <c r="AK117" s="208"/>
      <c r="AL117" s="208"/>
      <c r="AM117" s="208"/>
      <c r="AN117" s="208"/>
      <c r="AO117" s="30"/>
      <c r="AP117" s="30"/>
      <c r="AQ117" s="100"/>
      <c r="AR117" s="30"/>
      <c r="AS117" s="30"/>
      <c r="AT117" s="203"/>
      <c r="AU117" s="203"/>
      <c r="AV117" s="30"/>
      <c r="AW117" s="30"/>
      <c r="AX117" s="30"/>
      <c r="AY117" s="170"/>
      <c r="AZ117" s="170"/>
      <c r="BA117" s="170"/>
      <c r="BB117" s="170"/>
      <c r="BC117" s="170"/>
      <c r="BD117" s="170"/>
      <c r="BE117" s="170"/>
      <c r="BF117" s="170"/>
      <c r="BG117" s="170"/>
      <c r="BH117" s="170"/>
      <c r="BI117" s="170"/>
      <c r="BJ117" s="170"/>
      <c r="BK117" s="170"/>
    </row>
    <row r="118" spans="1:63">
      <c r="A118" s="14">
        <f t="shared" ref="A118:A132" si="16">PROJID_N</f>
        <v>0</v>
      </c>
      <c r="B118" t="str">
        <f>IF(C118="","",CONCATENATE(ROW(),"-",C118))</f>
        <v/>
      </c>
      <c r="C118" t="str">
        <f>IFERROR(IF(INDEX('N04-S03'!$BO$18:$BO$199,2*(ROWS($C$118:C118)-1)+1)="","",INDEX('N04-S03'!$BO$18:$BO$199,2*(ROWS($C$118:C118)-1)+1)),"")</f>
        <v/>
      </c>
      <c r="D118" t="s">
        <v>50</v>
      </c>
      <c r="E118" t="s">
        <v>38</v>
      </c>
      <c r="F118" t="s">
        <v>50</v>
      </c>
      <c r="G118" t="str">
        <f>IFERROR(INDEX('N04-S03'!$BG$18:$BG$199,2*(ROWS(G$118:G118)-1)+1),"")</f>
        <v/>
      </c>
      <c r="H118" s="207"/>
      <c r="I118" s="189"/>
      <c r="J118" s="189"/>
      <c r="K118" s="189"/>
      <c r="L118" s="13" t="str">
        <f ca="1">IFERROR(ROUND(IF($AI118&lt;&gt;"","",INDEX('N04-S03'!$AE$18:$AE$199,2*(ROWS(L$118:L118)-1)+1)),2),"")</f>
        <v/>
      </c>
      <c r="N118" s="13" t="str">
        <f ca="1">IFERROR(ROUND(IF($AI118&lt;&gt;"","",INDEX('N04-S03'!$AH$18:$AH$199,2*(ROWS(N$118:N118)-1)+1)),2),"")</f>
        <v/>
      </c>
      <c r="O118" s="13" t="str">
        <f ca="1">IFERROR(ROUND(IF($AI118&lt;&gt;"","",INDEX('N04-S03'!$AB$18:$AB$199,2*(ROWS(O$118:O118)-1)+1)),2),"")</f>
        <v/>
      </c>
      <c r="P118" s="10" t="str">
        <f ca="1">IFERROR(IF(AI118&lt;&gt;"","",ROUND(INDEX('N04-S03'!$BB$18:$BB$199,2*(ROWS(P$118:P118)-1)+1),3)),"")</f>
        <v/>
      </c>
      <c r="Q118" s="10" t="str">
        <f ca="1">IFERROR(IF(AI118&lt;&gt;"","",ROUND(INDEX('N04-S03'!$BC$18:$BC$199,2*(ROWS(Q$118:Q118)-1)+1),3)),"")</f>
        <v/>
      </c>
      <c r="R118" s="207"/>
      <c r="S118" s="25" t="str">
        <f ca="1">IFERROR(IF(AI118&lt;&gt;"","",INDEX('N04-S03'!$AK$18:$AK$199,2*(ROWS(S$118:S118)-1)+1)),"")</f>
        <v/>
      </c>
      <c r="T118" s="31" t="str">
        <f ca="1">IFERROR(IF(AI118&lt;&gt;"","",INDEX('N04-S03'!$BI$18:$BI$199,2*(ROWS(T$118:T118)-1)+1)),"")</f>
        <v/>
      </c>
      <c r="U118" s="31" t="str">
        <f ca="1">IFERROR(IF(AI118&lt;&gt;"","",INDEX('N04-S03'!$BH$18:$BH$199,2*(ROWS(U$118:U118)-1)+1)),"")</f>
        <v/>
      </c>
      <c r="V118" s="13" t="str">
        <f ca="1">IFERROR(IF(AI118&lt;&gt;"","",INDEX('N04-S03'!$AN$18:$AN$199,2*(ROWS(V$118:V118)-1)+1)),"")</f>
        <v/>
      </c>
      <c r="W118" s="207"/>
      <c r="X118" s="207"/>
      <c r="Y118" s="13">
        <f ca="1">IFERROR(IF(AI118&lt;&gt;"",INDEX('N04-S03'!$AE$18:$AE$199,2*(ROWS(Y$118:Y118)-1)+1),""),"")</f>
        <v>0</v>
      </c>
      <c r="AA118" s="13" t="str">
        <f ca="1">IFERROR(IF($AI118&lt;&gt;"",INDEX('N04-S03'!$AH$18:$AH$199,2*(ROWS(AA$118:AA118)-1)+1),""),"")</f>
        <v/>
      </c>
      <c r="AB118" s="13">
        <f ca="1">IFERROR(IF($AI118&lt;&gt;"",INDEX('N04-S03'!$AB$18:$AB$199,2*(ROWS(AB$118:AB118)-1)+1),""),"")</f>
        <v>0</v>
      </c>
      <c r="AC118" s="10" t="str">
        <f ca="1">IFERROR(IF(AI118&lt;&gt;"",ROUND(INDEX('N04-S03'!$BB$18:$BB$199,2*(ROWS(AC$118:AC118)-1)+1),3),""),"")</f>
        <v/>
      </c>
      <c r="AD118" s="10" t="str">
        <f ca="1">IFERROR(IF(AI118&lt;&gt;"",ROUND(INDEX('N04-S03'!$BC$18:$BC$199,2*(ROWS(AD$118:AD118)-1)+1),3),""),"")</f>
        <v/>
      </c>
      <c r="AE118" s="207"/>
      <c r="AF118" s="25" t="str">
        <f ca="1">IFERROR(IF(AI118&lt;&gt;"",INDEX('N04-S03'!$AK$18:$AK$199,2*(ROWS(AF$118:AF118)-1)+1),""),"")</f>
        <v/>
      </c>
      <c r="AG118" s="31">
        <f ca="1">IFERROR(IF(AI118&lt;&gt;"",INDEX('N04-S03'!$BI$18:$BI$199,2*(ROWS(AG$118:AG118)-1)+1),""),"")</f>
        <v>0</v>
      </c>
      <c r="AH118" s="31" t="str">
        <f ca="1">IFERROR(IF(AI118&lt;&gt;"",INDEX('N04-S03'!$BH$18:$BH$199,2*(ROWS(AH$118:AH118)-1)+1),""),"")</f>
        <v/>
      </c>
      <c r="AI118" t="str">
        <f ca="1">IFERROR(INDEX('N04-S03'!$BQ$18:$BQ$199,2*(ROWS(AI$118:AI118)-1)+1),"")</f>
        <v>Submit for Review</v>
      </c>
      <c r="AJ118" s="25" t="str">
        <f>IFERROR(INDEX('N04-S03'!$BD$18:$BD$199,2*(ROWS(AJ$118:AJ118)-1)+1),"")</f>
        <v/>
      </c>
      <c r="AK118" s="25" t="str">
        <f>IFERROR(INDEX('N04-S03'!$BE$18:$BE$199,2*(ROWS(AK$118:AK118)-1)+1),"")</f>
        <v/>
      </c>
      <c r="AL118" s="207"/>
      <c r="AM118" s="207"/>
      <c r="AN118" s="207"/>
      <c r="AO118">
        <f>IFERROR(INDEX('N04-S03'!$B$18:$B$199,2*(ROWS(AO$118:AO118)-1)+1),"")</f>
        <v>1</v>
      </c>
      <c r="AP118" s="189"/>
      <c r="AQ118">
        <f>IFERROR(INDEX('N04-S03'!$C$18:$C$199,2*(ROWS(AQ$118:AQ118)-1)+1),"")</f>
        <v>0</v>
      </c>
      <c r="AR118">
        <f>IFERROR(INDEX('N04-S03'!$L$18:$L$199,2*(ROWS(AR$118:AR118)-1)+1),"")</f>
        <v>0</v>
      </c>
      <c r="AS118">
        <f>IFERROR(INDEX('N04-S03'!$T$18:$T$199,2*(ROWS(AS$118:AS118)-1)+1),"")</f>
        <v>0</v>
      </c>
      <c r="AT118" s="13" t="str">
        <f>IFERROR(INDEX('N04-S03'!$AY$18:$AY$199,2*(ROWS(AT$118:AT118)-1)+1),"")</f>
        <v/>
      </c>
      <c r="AU118" s="13" t="str">
        <f>IFERROR(INDEX('N04-S03'!$AZ$18:$AZ$199,2*(ROWS(AU$118:AU118)-1)+1),"")</f>
        <v/>
      </c>
      <c r="AV118" t="str">
        <f>IFERROR(INDEX('N04-S03'!$BA$18:$BA$199,2*(ROWS(AV$118:AV118)-1)+1),"")</f>
        <v/>
      </c>
      <c r="AW118" t="str">
        <f>IFERROR(INDEX('N04-S03'!$BF$18:$BF$199,2*(ROWS(AW$118:AW118)-1)+1),"")</f>
        <v/>
      </c>
      <c r="AX118" t="s">
        <v>820</v>
      </c>
      <c r="AY118" s="170"/>
      <c r="AZ118" s="170"/>
      <c r="BA118" s="170"/>
      <c r="BB118" s="170"/>
      <c r="BC118" s="170"/>
      <c r="BD118" s="170"/>
      <c r="BE118" s="170"/>
      <c r="BF118" s="170"/>
      <c r="BG118" s="170"/>
      <c r="BH118" s="170"/>
      <c r="BI118" s="170"/>
      <c r="BJ118" s="170"/>
      <c r="BK118" s="170"/>
    </row>
    <row r="119" spans="1:63">
      <c r="A119" s="14">
        <f t="shared" si="16"/>
        <v>0</v>
      </c>
      <c r="B119" t="str">
        <f t="shared" ref="B119:B132" si="17">IF(C119="","",CONCATENATE(ROW(),"-",C119))</f>
        <v/>
      </c>
      <c r="C119" t="str">
        <f>IFERROR(IF(INDEX('N04-S03'!$BO$18:$BO$199,2*(ROWS($C$118:C119)-1)+1)="","",INDEX('N04-S03'!$BO$18:$BO$199,2*(ROWS($C$118:C119)-1)+1)),"")</f>
        <v/>
      </c>
      <c r="D119" t="s">
        <v>50</v>
      </c>
      <c r="E119" t="s">
        <v>38</v>
      </c>
      <c r="F119" t="s">
        <v>50</v>
      </c>
      <c r="G119" t="str">
        <f>IFERROR(INDEX('N04-S03'!$BG$18:$BG$199,2*(ROWS(G$118:G119)-1)+1),"")</f>
        <v/>
      </c>
      <c r="H119" s="207"/>
      <c r="I119" s="189"/>
      <c r="J119" s="189"/>
      <c r="K119" s="189"/>
      <c r="L119" s="13" t="str">
        <f ca="1">IFERROR(ROUND(IF($AI119&lt;&gt;"","",INDEX('N04-S03'!$AE$18:$AE$199,2*(ROWS(L$118:L119)-1)+1)),2),"")</f>
        <v/>
      </c>
      <c r="N119" s="13" t="str">
        <f ca="1">IFERROR(ROUND(IF($AI119&lt;&gt;"","",INDEX('N04-S03'!$AH$18:$AH$199,2*(ROWS(N$118:N119)-1)+1)),2),"")</f>
        <v/>
      </c>
      <c r="O119" s="13" t="str">
        <f ca="1">IFERROR(ROUND(IF($AI119&lt;&gt;"","",INDEX('N04-S03'!$AB$18:$AB$199,2*(ROWS(O$118:O119)-1)+1)),2),"")</f>
        <v/>
      </c>
      <c r="P119" s="10" t="str">
        <f ca="1">IFERROR(IF(AI119&lt;&gt;"","",ROUND(INDEX('N04-S03'!$BB$18:$BB$199,2*(ROWS(P$118:P119)-1)+1),3)),"")</f>
        <v/>
      </c>
      <c r="Q119" s="10" t="str">
        <f ca="1">IFERROR(IF(AI119&lt;&gt;"","",ROUND(INDEX('N04-S03'!$BC$18:$BC$199,2*(ROWS(Q$118:Q119)-1)+1),3)),"")</f>
        <v/>
      </c>
      <c r="R119" s="207"/>
      <c r="S119" s="25" t="str">
        <f ca="1">IFERROR(IF(AI119&lt;&gt;"","",INDEX('N04-S03'!$AK$18:$AK$199,2*(ROWS(S$118:S119)-1)+1)),"")</f>
        <v/>
      </c>
      <c r="T119" s="31" t="str">
        <f ca="1">IFERROR(IF(AI119&lt;&gt;"","",INDEX('N04-S03'!$BI$18:$BI$199,2*(ROWS(T$118:T119)-1)+1)),"")</f>
        <v/>
      </c>
      <c r="U119" s="31" t="str">
        <f ca="1">IFERROR(IF(AI119&lt;&gt;"","",INDEX('N04-S03'!$BH$18:$BH$199,2*(ROWS(U$118:U119)-1)+1)),"")</f>
        <v/>
      </c>
      <c r="V119" s="13" t="str">
        <f ca="1">IFERROR(IF(AI119&lt;&gt;"","",INDEX('N04-S03'!$AN$18:$AN$199,2*(ROWS(V$118:V119)-1)+1)),"")</f>
        <v/>
      </c>
      <c r="W119" s="207"/>
      <c r="X119" s="207"/>
      <c r="Y119" s="13">
        <f ca="1">IFERROR(IF(AI119&lt;&gt;"",INDEX('N04-S03'!$AE$18:$AE$199,2*(ROWS(Y$118:Y119)-1)+1),""),"")</f>
        <v>0</v>
      </c>
      <c r="AA119" s="13" t="str">
        <f ca="1">IFERROR(IF($AI119&lt;&gt;"",INDEX('N04-S03'!$AH$18:$AH$199,2*(ROWS(AA$118:AA119)-1)+1),""),"")</f>
        <v/>
      </c>
      <c r="AB119" s="13">
        <f ca="1">IFERROR(IF($AI119&lt;&gt;"",INDEX('N04-S03'!$AB$18:$AB$199,2*(ROWS(AB$118:AB119)-1)+1),""),"")</f>
        <v>0</v>
      </c>
      <c r="AC119" s="10" t="str">
        <f ca="1">IFERROR(IF(AI119&lt;&gt;"",ROUND(INDEX('N04-S03'!$BB$18:$BB$199,2*(ROWS(AC$118:AC119)-1)+1),3),""),"")</f>
        <v/>
      </c>
      <c r="AD119" s="10" t="str">
        <f ca="1">IFERROR(IF(AI119&lt;&gt;"",ROUND(INDEX('N04-S03'!$BC$18:$BC$199,2*(ROWS(AD$118:AD119)-1)+1),3),""),"")</f>
        <v/>
      </c>
      <c r="AE119" s="207"/>
      <c r="AF119" s="25" t="str">
        <f ca="1">IFERROR(IF(AI119&lt;&gt;"",INDEX('N04-S03'!$AK$18:$AK$199,2*(ROWS(AF$118:AF119)-1)+1),""),"")</f>
        <v/>
      </c>
      <c r="AG119" s="31">
        <f ca="1">IFERROR(IF(AI119&lt;&gt;"",INDEX('N04-S03'!$BI$18:$BI$199,2*(ROWS(AG$118:AG119)-1)+1),""),"")</f>
        <v>0</v>
      </c>
      <c r="AH119" s="31" t="str">
        <f ca="1">IFERROR(IF(AI119&lt;&gt;"",INDEX('N04-S03'!$BH$18:$BH$199,2*(ROWS(AH$118:AH119)-1)+1),""),"")</f>
        <v/>
      </c>
      <c r="AI119" t="str">
        <f ca="1">IFERROR(INDEX('N04-S03'!$BQ$18:$BQ$199,2*(ROWS(AI$118:AI119)-1)+1),"")</f>
        <v>Submit for Review</v>
      </c>
      <c r="AJ119" s="25" t="str">
        <f>IFERROR(INDEX('N04-S03'!$BD$18:$BD$199,2*(ROWS(AJ$118:AJ119)-1)+1),"")</f>
        <v/>
      </c>
      <c r="AK119" s="25" t="str">
        <f>IFERROR(INDEX('N04-S03'!$BE$18:$BE$199,2*(ROWS(AK$118:AK119)-1)+1),"")</f>
        <v/>
      </c>
      <c r="AL119" s="207"/>
      <c r="AM119" s="207"/>
      <c r="AN119" s="207"/>
      <c r="AO119">
        <f>IFERROR(INDEX('N04-S03'!$B$18:$B$199,2*(ROWS(AO$118:AO119)-1)+1),"")</f>
        <v>2</v>
      </c>
      <c r="AP119" s="189"/>
      <c r="AQ119">
        <f>IFERROR(INDEX('N04-S03'!$C$18:$C$199,2*(ROWS(AQ$118:AQ119)-1)+1),"")</f>
        <v>0</v>
      </c>
      <c r="AR119">
        <f>IFERROR(INDEX('N04-S03'!$L$18:$L$199,2*(ROWS(AR$118:AR119)-1)+1),"")</f>
        <v>0</v>
      </c>
      <c r="AS119">
        <f>IFERROR(INDEX('N04-S03'!$T$18:$T$199,2*(ROWS(AS$118:AS119)-1)+1),"")</f>
        <v>0</v>
      </c>
      <c r="AT119" s="13" t="str">
        <f>IFERROR(INDEX('N04-S03'!$AY$18:$AY$199,2*(ROWS(AT$118:AT119)-1)+1),"")</f>
        <v/>
      </c>
      <c r="AU119" s="13" t="str">
        <f>IFERROR(INDEX('N04-S03'!$AZ$18:$AZ$199,2*(ROWS(AU$118:AU119)-1)+1),"")</f>
        <v/>
      </c>
      <c r="AV119" t="str">
        <f>IFERROR(INDEX('N04-S03'!$BA$18:$BA$199,2*(ROWS(AV$118:AV119)-1)+1),"")</f>
        <v/>
      </c>
      <c r="AW119" t="str">
        <f>IFERROR(INDEX('N04-S03'!$BF$18:$BF$199,2*(ROWS(AW$118:AW119)-1)+1),"")</f>
        <v/>
      </c>
      <c r="AX119" t="s">
        <v>820</v>
      </c>
      <c r="AY119" s="170"/>
      <c r="AZ119" s="170"/>
      <c r="BA119" s="170"/>
      <c r="BB119" s="170"/>
      <c r="BC119" s="170"/>
      <c r="BD119" s="170"/>
      <c r="BE119" s="170"/>
      <c r="BF119" s="170"/>
      <c r="BG119" s="170"/>
      <c r="BH119" s="170"/>
      <c r="BI119" s="170"/>
      <c r="BJ119" s="170"/>
      <c r="BK119" s="170"/>
    </row>
    <row r="120" spans="1:63">
      <c r="A120" s="14">
        <f t="shared" si="16"/>
        <v>0</v>
      </c>
      <c r="B120" t="str">
        <f t="shared" si="17"/>
        <v/>
      </c>
      <c r="C120" t="str">
        <f>IFERROR(IF(INDEX('N04-S03'!$BO$18:$BO$199,2*(ROWS($C$118:C120)-1)+1)="","",INDEX('N04-S03'!$BO$18:$BO$199,2*(ROWS($C$118:C120)-1)+1)),"")</f>
        <v/>
      </c>
      <c r="D120" t="s">
        <v>50</v>
      </c>
      <c r="E120" t="s">
        <v>38</v>
      </c>
      <c r="F120" t="s">
        <v>50</v>
      </c>
      <c r="G120" t="str">
        <f>IFERROR(INDEX('N04-S03'!$BG$18:$BG$199,2*(ROWS(G$118:G120)-1)+1),"")</f>
        <v/>
      </c>
      <c r="H120" s="207"/>
      <c r="I120" s="189"/>
      <c r="J120" s="189"/>
      <c r="K120" s="189"/>
      <c r="L120" s="13" t="str">
        <f ca="1">IFERROR(ROUND(IF($AI120&lt;&gt;"","",INDEX('N04-S03'!$AE$18:$AE$199,2*(ROWS(L$118:L120)-1)+1)),2),"")</f>
        <v/>
      </c>
      <c r="N120" s="13" t="str">
        <f ca="1">IFERROR(ROUND(IF($AI120&lt;&gt;"","",INDEX('N04-S03'!$AH$18:$AH$199,2*(ROWS(N$118:N120)-1)+1)),2),"")</f>
        <v/>
      </c>
      <c r="O120" s="13" t="str">
        <f ca="1">IFERROR(ROUND(IF($AI120&lt;&gt;"","",INDEX('N04-S03'!$AB$18:$AB$199,2*(ROWS(O$118:O120)-1)+1)),2),"")</f>
        <v/>
      </c>
      <c r="P120" s="10" t="str">
        <f ca="1">IFERROR(IF(AI120&lt;&gt;"","",ROUND(INDEX('N04-S03'!$BB$18:$BB$199,2*(ROWS(P$118:P120)-1)+1),3)),"")</f>
        <v/>
      </c>
      <c r="Q120" s="10" t="str">
        <f ca="1">IFERROR(IF(AI120&lt;&gt;"","",ROUND(INDEX('N04-S03'!$BC$18:$BC$199,2*(ROWS(Q$118:Q120)-1)+1),3)),"")</f>
        <v/>
      </c>
      <c r="R120" s="207"/>
      <c r="S120" s="25" t="str">
        <f ca="1">IFERROR(IF(AI120&lt;&gt;"","",INDEX('N04-S03'!$AK$18:$AK$199,2*(ROWS(S$118:S120)-1)+1)),"")</f>
        <v/>
      </c>
      <c r="T120" s="31" t="str">
        <f ca="1">IFERROR(IF(AI120&lt;&gt;"","",INDEX('N04-S03'!$BI$18:$BI$199,2*(ROWS(T$118:T120)-1)+1)),"")</f>
        <v/>
      </c>
      <c r="U120" s="31" t="str">
        <f ca="1">IFERROR(IF(AI120&lt;&gt;"","",INDEX('N04-S03'!$BH$18:$BH$199,2*(ROWS(U$118:U120)-1)+1)),"")</f>
        <v/>
      </c>
      <c r="V120" s="13" t="str">
        <f ca="1">IFERROR(IF(AI120&lt;&gt;"","",INDEX('N04-S03'!$AN$18:$AN$199,2*(ROWS(V$118:V120)-1)+1)),"")</f>
        <v/>
      </c>
      <c r="W120" s="207"/>
      <c r="X120" s="207"/>
      <c r="Y120" s="13">
        <f ca="1">IFERROR(IF(AI120&lt;&gt;"",INDEX('N04-S03'!$AE$18:$AE$199,2*(ROWS(Y$118:Y120)-1)+1),""),"")</f>
        <v>0</v>
      </c>
      <c r="AA120" s="13" t="str">
        <f ca="1">IFERROR(IF($AI120&lt;&gt;"",INDEX('N04-S03'!$AH$18:$AH$199,2*(ROWS(AA$118:AA120)-1)+1),""),"")</f>
        <v/>
      </c>
      <c r="AB120" s="13">
        <f ca="1">IFERROR(IF($AI120&lt;&gt;"",INDEX('N04-S03'!$AB$18:$AB$199,2*(ROWS(AB$118:AB120)-1)+1),""),"")</f>
        <v>0</v>
      </c>
      <c r="AC120" s="10" t="str">
        <f ca="1">IFERROR(IF(AI120&lt;&gt;"",ROUND(INDEX('N04-S03'!$BB$18:$BB$199,2*(ROWS(AC$118:AC120)-1)+1),3),""),"")</f>
        <v/>
      </c>
      <c r="AD120" s="10" t="str">
        <f ca="1">IFERROR(IF(AI120&lt;&gt;"",ROUND(INDEX('N04-S03'!$BC$18:$BC$199,2*(ROWS(AD$118:AD120)-1)+1),3),""),"")</f>
        <v/>
      </c>
      <c r="AE120" s="207"/>
      <c r="AF120" s="25" t="str">
        <f ca="1">IFERROR(IF(AI120&lt;&gt;"",INDEX('N04-S03'!$AK$18:$AK$199,2*(ROWS(AF$118:AF120)-1)+1),""),"")</f>
        <v/>
      </c>
      <c r="AG120" s="31">
        <f ca="1">IFERROR(IF(AI120&lt;&gt;"",INDEX('N04-S03'!$BI$18:$BI$199,2*(ROWS(AG$118:AG120)-1)+1),""),"")</f>
        <v>0</v>
      </c>
      <c r="AH120" s="31" t="str">
        <f ca="1">IFERROR(IF(AI120&lt;&gt;"",INDEX('N04-S03'!$BH$18:$BH$199,2*(ROWS(AH$118:AH120)-1)+1),""),"")</f>
        <v/>
      </c>
      <c r="AI120" t="str">
        <f ca="1">IFERROR(INDEX('N04-S03'!$BQ$18:$BQ$199,2*(ROWS(AI$118:AI120)-1)+1),"")</f>
        <v>Submit for Review</v>
      </c>
      <c r="AJ120" s="25" t="str">
        <f>IFERROR(INDEX('N04-S03'!$BD$18:$BD$199,2*(ROWS(AJ$118:AJ120)-1)+1),"")</f>
        <v/>
      </c>
      <c r="AK120" s="25" t="str">
        <f>IFERROR(INDEX('N04-S03'!$BE$18:$BE$199,2*(ROWS(AK$118:AK120)-1)+1),"")</f>
        <v/>
      </c>
      <c r="AL120" s="207"/>
      <c r="AM120" s="207"/>
      <c r="AN120" s="207"/>
      <c r="AO120">
        <f>IFERROR(INDEX('N04-S03'!$B$18:$B$199,2*(ROWS(AO$118:AO120)-1)+1),"")</f>
        <v>3</v>
      </c>
      <c r="AP120" s="189"/>
      <c r="AQ120">
        <f>IFERROR(INDEX('N04-S03'!$C$18:$C$199,2*(ROWS(AQ$118:AQ120)-1)+1),"")</f>
        <v>0</v>
      </c>
      <c r="AR120">
        <f>IFERROR(INDEX('N04-S03'!$L$18:$L$199,2*(ROWS(AR$118:AR120)-1)+1),"")</f>
        <v>0</v>
      </c>
      <c r="AS120">
        <f>IFERROR(INDEX('N04-S03'!$T$18:$T$199,2*(ROWS(AS$118:AS120)-1)+1),"")</f>
        <v>0</v>
      </c>
      <c r="AT120" s="13" t="str">
        <f>IFERROR(INDEX('N04-S03'!$AY$18:$AY$199,2*(ROWS(AT$118:AT120)-1)+1),"")</f>
        <v/>
      </c>
      <c r="AU120" s="13" t="str">
        <f>IFERROR(INDEX('N04-S03'!$AZ$18:$AZ$199,2*(ROWS(AU$118:AU120)-1)+1),"")</f>
        <v/>
      </c>
      <c r="AV120" t="str">
        <f>IFERROR(INDEX('N04-S03'!$BA$18:$BA$199,2*(ROWS(AV$118:AV120)-1)+1),"")</f>
        <v/>
      </c>
      <c r="AW120" t="str">
        <f>IFERROR(INDEX('N04-S03'!$BF$18:$BF$199,2*(ROWS(AW$118:AW120)-1)+1),"")</f>
        <v/>
      </c>
      <c r="AX120" t="s">
        <v>820</v>
      </c>
      <c r="AY120" s="170"/>
      <c r="AZ120" s="170"/>
      <c r="BA120" s="170"/>
      <c r="BB120" s="170"/>
      <c r="BC120" s="170"/>
      <c r="BD120" s="170"/>
      <c r="BE120" s="170"/>
      <c r="BF120" s="170"/>
      <c r="BG120" s="170"/>
      <c r="BH120" s="170"/>
      <c r="BI120" s="170"/>
      <c r="BJ120" s="170"/>
      <c r="BK120" s="170"/>
    </row>
    <row r="121" spans="1:63">
      <c r="A121" s="14">
        <f t="shared" si="16"/>
        <v>0</v>
      </c>
      <c r="B121" t="str">
        <f t="shared" si="17"/>
        <v/>
      </c>
      <c r="C121" t="str">
        <f>IFERROR(IF(INDEX('N04-S03'!$BO$18:$BO$199,2*(ROWS($C$118:C121)-1)+1)="","",INDEX('N04-S03'!$BO$18:$BO$199,2*(ROWS($C$118:C121)-1)+1)),"")</f>
        <v/>
      </c>
      <c r="D121" t="s">
        <v>50</v>
      </c>
      <c r="E121" t="s">
        <v>38</v>
      </c>
      <c r="F121" t="s">
        <v>50</v>
      </c>
      <c r="G121" t="str">
        <f>IFERROR(INDEX('N04-S03'!$BG$18:$BG$199,2*(ROWS(G$118:G121)-1)+1),"")</f>
        <v/>
      </c>
      <c r="H121" s="207"/>
      <c r="I121" s="189"/>
      <c r="J121" s="189"/>
      <c r="K121" s="189"/>
      <c r="L121" s="13" t="str">
        <f ca="1">IFERROR(ROUND(IF($AI121&lt;&gt;"","",INDEX('N04-S03'!$AE$18:$AE$199,2*(ROWS(L$118:L121)-1)+1)),2),"")</f>
        <v/>
      </c>
      <c r="N121" s="13" t="str">
        <f ca="1">IFERROR(ROUND(IF($AI121&lt;&gt;"","",INDEX('N04-S03'!$AH$18:$AH$199,2*(ROWS(N$118:N121)-1)+1)),2),"")</f>
        <v/>
      </c>
      <c r="O121" s="13" t="str">
        <f ca="1">IFERROR(ROUND(IF($AI121&lt;&gt;"","",INDEX('N04-S03'!$AB$18:$AB$199,2*(ROWS(O$118:O121)-1)+1)),2),"")</f>
        <v/>
      </c>
      <c r="P121" s="10" t="str">
        <f ca="1">IFERROR(IF(AI121&lt;&gt;"","",ROUND(INDEX('N04-S03'!$BB$18:$BB$199,2*(ROWS(P$118:P121)-1)+1),3)),"")</f>
        <v/>
      </c>
      <c r="Q121" s="10" t="str">
        <f ca="1">IFERROR(IF(AI121&lt;&gt;"","",ROUND(INDEX('N04-S03'!$BC$18:$BC$199,2*(ROWS(Q$118:Q121)-1)+1),3)),"")</f>
        <v/>
      </c>
      <c r="R121" s="207"/>
      <c r="S121" s="25" t="str">
        <f ca="1">IFERROR(IF(AI121&lt;&gt;"","",INDEX('N04-S03'!$AK$18:$AK$199,2*(ROWS(S$118:S121)-1)+1)),"")</f>
        <v/>
      </c>
      <c r="T121" s="31" t="str">
        <f ca="1">IFERROR(IF(AI121&lt;&gt;"","",INDEX('N04-S03'!$BI$18:$BI$199,2*(ROWS(T$118:T121)-1)+1)),"")</f>
        <v/>
      </c>
      <c r="U121" s="31" t="str">
        <f ca="1">IFERROR(IF(AI121&lt;&gt;"","",INDEX('N04-S03'!$BH$18:$BH$199,2*(ROWS(U$118:U121)-1)+1)),"")</f>
        <v/>
      </c>
      <c r="V121" s="13" t="str">
        <f ca="1">IFERROR(IF(AI121&lt;&gt;"","",INDEX('N04-S03'!$AN$18:$AN$199,2*(ROWS(V$118:V121)-1)+1)),"")</f>
        <v/>
      </c>
      <c r="W121" s="207"/>
      <c r="X121" s="207"/>
      <c r="Y121" s="13">
        <f ca="1">IFERROR(IF(AI121&lt;&gt;"",INDEX('N04-S03'!$AE$18:$AE$199,2*(ROWS(Y$118:Y121)-1)+1),""),"")</f>
        <v>0</v>
      </c>
      <c r="AA121" s="13" t="str">
        <f ca="1">IFERROR(IF($AI121&lt;&gt;"",INDEX('N04-S03'!$AH$18:$AH$199,2*(ROWS(AA$118:AA121)-1)+1),""),"")</f>
        <v/>
      </c>
      <c r="AB121" s="13">
        <f ca="1">IFERROR(IF($AI121&lt;&gt;"",INDEX('N04-S03'!$AB$18:$AB$199,2*(ROWS(AB$118:AB121)-1)+1),""),"")</f>
        <v>0</v>
      </c>
      <c r="AC121" s="10" t="str">
        <f ca="1">IFERROR(IF(AI121&lt;&gt;"",ROUND(INDEX('N04-S03'!$BB$18:$BB$199,2*(ROWS(AC$118:AC121)-1)+1),3),""),"")</f>
        <v/>
      </c>
      <c r="AD121" s="10" t="str">
        <f ca="1">IFERROR(IF(AI121&lt;&gt;"",ROUND(INDEX('N04-S03'!$BC$18:$BC$199,2*(ROWS(AD$118:AD121)-1)+1),3),""),"")</f>
        <v/>
      </c>
      <c r="AE121" s="207"/>
      <c r="AF121" s="25" t="str">
        <f ca="1">IFERROR(IF(AI121&lt;&gt;"",INDEX('N04-S03'!$AK$18:$AK$199,2*(ROWS(AF$118:AF121)-1)+1),""),"")</f>
        <v/>
      </c>
      <c r="AG121" s="31">
        <f ca="1">IFERROR(IF(AI121&lt;&gt;"",INDEX('N04-S03'!$BI$18:$BI$199,2*(ROWS(AG$118:AG121)-1)+1),""),"")</f>
        <v>0</v>
      </c>
      <c r="AH121" s="31" t="str">
        <f ca="1">IFERROR(IF(AI121&lt;&gt;"",INDEX('N04-S03'!$BH$18:$BH$199,2*(ROWS(AH$118:AH121)-1)+1),""),"")</f>
        <v/>
      </c>
      <c r="AI121" t="str">
        <f ca="1">IFERROR(INDEX('N04-S03'!$BQ$18:$BQ$199,2*(ROWS(AI$118:AI121)-1)+1),"")</f>
        <v>Submit for Review</v>
      </c>
      <c r="AJ121" s="25" t="str">
        <f>IFERROR(INDEX('N04-S03'!$BD$18:$BD$199,2*(ROWS(AJ$118:AJ121)-1)+1),"")</f>
        <v/>
      </c>
      <c r="AK121" s="25" t="str">
        <f>IFERROR(INDEX('N04-S03'!$BE$18:$BE$199,2*(ROWS(AK$118:AK121)-1)+1),"")</f>
        <v/>
      </c>
      <c r="AL121" s="207"/>
      <c r="AM121" s="207"/>
      <c r="AN121" s="207"/>
      <c r="AO121">
        <f>IFERROR(INDEX('N04-S03'!$B$18:$B$199,2*(ROWS(AO$118:AO121)-1)+1),"")</f>
        <v>4</v>
      </c>
      <c r="AP121" s="189"/>
      <c r="AQ121">
        <f>IFERROR(INDEX('N04-S03'!$C$18:$C$199,2*(ROWS(AQ$118:AQ121)-1)+1),"")</f>
        <v>0</v>
      </c>
      <c r="AR121">
        <f>IFERROR(INDEX('N04-S03'!$L$18:$L$199,2*(ROWS(AR$118:AR121)-1)+1),"")</f>
        <v>0</v>
      </c>
      <c r="AS121">
        <f>IFERROR(INDEX('N04-S03'!$T$18:$T$199,2*(ROWS(AS$118:AS121)-1)+1),"")</f>
        <v>0</v>
      </c>
      <c r="AT121" s="13" t="str">
        <f>IFERROR(INDEX('N04-S03'!$AY$18:$AY$199,2*(ROWS(AT$118:AT121)-1)+1),"")</f>
        <v/>
      </c>
      <c r="AU121" s="13" t="str">
        <f>IFERROR(INDEX('N04-S03'!$AZ$18:$AZ$199,2*(ROWS(AU$118:AU121)-1)+1),"")</f>
        <v/>
      </c>
      <c r="AV121" t="str">
        <f>IFERROR(INDEX('N04-S03'!$BA$18:$BA$199,2*(ROWS(AV$118:AV121)-1)+1),"")</f>
        <v/>
      </c>
      <c r="AW121" t="str">
        <f>IFERROR(INDEX('N04-S03'!$BF$18:$BF$199,2*(ROWS(AW$118:AW121)-1)+1),"")</f>
        <v/>
      </c>
      <c r="AX121" t="s">
        <v>820</v>
      </c>
      <c r="AY121" s="170"/>
      <c r="AZ121" s="170"/>
      <c r="BA121" s="170"/>
      <c r="BB121" s="170"/>
      <c r="BC121" s="170"/>
      <c r="BD121" s="170"/>
      <c r="BE121" s="170"/>
      <c r="BF121" s="170"/>
      <c r="BG121" s="170"/>
      <c r="BH121" s="170"/>
      <c r="BI121" s="170"/>
      <c r="BJ121" s="170"/>
      <c r="BK121" s="170"/>
    </row>
    <row r="122" spans="1:63">
      <c r="A122" s="14">
        <f t="shared" si="16"/>
        <v>0</v>
      </c>
      <c r="B122" t="str">
        <f t="shared" si="17"/>
        <v/>
      </c>
      <c r="C122" t="str">
        <f>IFERROR(IF(INDEX('N04-S03'!$BO$18:$BO$199,2*(ROWS($C$118:C122)-1)+1)="","",INDEX('N04-S03'!$BO$18:$BO$199,2*(ROWS($C$118:C122)-1)+1)),"")</f>
        <v/>
      </c>
      <c r="D122" t="s">
        <v>50</v>
      </c>
      <c r="E122" t="s">
        <v>38</v>
      </c>
      <c r="F122" t="s">
        <v>50</v>
      </c>
      <c r="G122" t="str">
        <f>IFERROR(INDEX('N04-S03'!$BG$18:$BG$199,2*(ROWS(G$118:G122)-1)+1),"")</f>
        <v/>
      </c>
      <c r="H122" s="207"/>
      <c r="I122" s="189"/>
      <c r="J122" s="189"/>
      <c r="K122" s="189"/>
      <c r="L122" s="13" t="str">
        <f ca="1">IFERROR(ROUND(IF($AI122&lt;&gt;"","",INDEX('N04-S03'!$AE$18:$AE$199,2*(ROWS(L$118:L122)-1)+1)),2),"")</f>
        <v/>
      </c>
      <c r="N122" s="13" t="str">
        <f ca="1">IFERROR(ROUND(IF($AI122&lt;&gt;"","",INDEX('N04-S03'!$AH$18:$AH$199,2*(ROWS(N$118:N122)-1)+1)),2),"")</f>
        <v/>
      </c>
      <c r="O122" s="13" t="str">
        <f ca="1">IFERROR(ROUND(IF($AI122&lt;&gt;"","",INDEX('N04-S03'!$AB$18:$AB$199,2*(ROWS(O$118:O122)-1)+1)),2),"")</f>
        <v/>
      </c>
      <c r="P122" s="10" t="str">
        <f ca="1">IFERROR(IF(AI122&lt;&gt;"","",ROUND(INDEX('N04-S03'!$BB$18:$BB$199,2*(ROWS(P$118:P122)-1)+1),3)),"")</f>
        <v/>
      </c>
      <c r="Q122" s="10" t="str">
        <f ca="1">IFERROR(IF(AI122&lt;&gt;"","",ROUND(INDEX('N04-S03'!$BC$18:$BC$199,2*(ROWS(Q$118:Q122)-1)+1),3)),"")</f>
        <v/>
      </c>
      <c r="R122" s="207"/>
      <c r="S122" s="25" t="str">
        <f ca="1">IFERROR(IF(AI122&lt;&gt;"","",INDEX('N04-S03'!$AK$18:$AK$199,2*(ROWS(S$118:S122)-1)+1)),"")</f>
        <v/>
      </c>
      <c r="T122" s="31" t="str">
        <f ca="1">IFERROR(IF(AI122&lt;&gt;"","",INDEX('N04-S03'!$BI$18:$BI$199,2*(ROWS(T$118:T122)-1)+1)),"")</f>
        <v/>
      </c>
      <c r="U122" s="31" t="str">
        <f ca="1">IFERROR(IF(AI122&lt;&gt;"","",INDEX('N04-S03'!$BH$18:$BH$199,2*(ROWS(U$118:U122)-1)+1)),"")</f>
        <v/>
      </c>
      <c r="V122" s="13" t="str">
        <f ca="1">IFERROR(IF(AI122&lt;&gt;"","",INDEX('N04-S03'!$AN$18:$AN$199,2*(ROWS(V$118:V122)-1)+1)),"")</f>
        <v/>
      </c>
      <c r="W122" s="207"/>
      <c r="X122" s="207"/>
      <c r="Y122" s="13">
        <f ca="1">IFERROR(IF(AI122&lt;&gt;"",INDEX('N04-S03'!$AE$18:$AE$199,2*(ROWS(Y$118:Y122)-1)+1),""),"")</f>
        <v>0</v>
      </c>
      <c r="AA122" s="13" t="str">
        <f ca="1">IFERROR(IF($AI122&lt;&gt;"",INDEX('N04-S03'!$AH$18:$AH$199,2*(ROWS(AA$118:AA122)-1)+1),""),"")</f>
        <v/>
      </c>
      <c r="AB122" s="13">
        <f ca="1">IFERROR(IF($AI122&lt;&gt;"",INDEX('N04-S03'!$AB$18:$AB$199,2*(ROWS(AB$118:AB122)-1)+1),""),"")</f>
        <v>0</v>
      </c>
      <c r="AC122" s="10" t="str">
        <f ca="1">IFERROR(IF(AI122&lt;&gt;"",ROUND(INDEX('N04-S03'!$BB$18:$BB$199,2*(ROWS(AC$118:AC122)-1)+1),3),""),"")</f>
        <v/>
      </c>
      <c r="AD122" s="10" t="str">
        <f ca="1">IFERROR(IF(AI122&lt;&gt;"",ROUND(INDEX('N04-S03'!$BC$18:$BC$199,2*(ROWS(AD$118:AD122)-1)+1),3),""),"")</f>
        <v/>
      </c>
      <c r="AE122" s="207"/>
      <c r="AF122" s="25" t="str">
        <f ca="1">IFERROR(IF(AI122&lt;&gt;"",INDEX('N04-S03'!$AK$18:$AK$199,2*(ROWS(AF$118:AF122)-1)+1),""),"")</f>
        <v/>
      </c>
      <c r="AG122" s="31">
        <f ca="1">IFERROR(IF(AI122&lt;&gt;"",INDEX('N04-S03'!$BI$18:$BI$199,2*(ROWS(AG$118:AG122)-1)+1),""),"")</f>
        <v>0</v>
      </c>
      <c r="AH122" s="31" t="str">
        <f ca="1">IFERROR(IF(AI122&lt;&gt;"",INDEX('N04-S03'!$BH$18:$BH$199,2*(ROWS(AH$118:AH122)-1)+1),""),"")</f>
        <v/>
      </c>
      <c r="AI122" t="str">
        <f ca="1">IFERROR(INDEX('N04-S03'!$BQ$18:$BQ$199,2*(ROWS(AI$118:AI122)-1)+1),"")</f>
        <v>Submit for Review</v>
      </c>
      <c r="AJ122" s="25" t="str">
        <f>IFERROR(INDEX('N04-S03'!$BD$18:$BD$199,2*(ROWS(AJ$118:AJ122)-1)+1),"")</f>
        <v/>
      </c>
      <c r="AK122" s="25" t="str">
        <f>IFERROR(INDEX('N04-S03'!$BE$18:$BE$199,2*(ROWS(AK$118:AK122)-1)+1),"")</f>
        <v/>
      </c>
      <c r="AL122" s="207"/>
      <c r="AM122" s="207"/>
      <c r="AN122" s="207"/>
      <c r="AO122">
        <f>IFERROR(INDEX('N04-S03'!$B$18:$B$199,2*(ROWS(AO$118:AO122)-1)+1),"")</f>
        <v>5</v>
      </c>
      <c r="AP122" s="189"/>
      <c r="AQ122">
        <f>IFERROR(INDEX('N04-S03'!$C$18:$C$199,2*(ROWS(AQ$118:AQ122)-1)+1),"")</f>
        <v>0</v>
      </c>
      <c r="AR122">
        <f>IFERROR(INDEX('N04-S03'!$L$18:$L$199,2*(ROWS(AR$118:AR122)-1)+1),"")</f>
        <v>0</v>
      </c>
      <c r="AS122">
        <f>IFERROR(INDEX('N04-S03'!$T$18:$T$199,2*(ROWS(AS$118:AS122)-1)+1),"")</f>
        <v>0</v>
      </c>
      <c r="AT122" s="13" t="str">
        <f>IFERROR(INDEX('N04-S03'!$AY$18:$AY$199,2*(ROWS(AT$118:AT122)-1)+1),"")</f>
        <v/>
      </c>
      <c r="AU122" s="13" t="str">
        <f>IFERROR(INDEX('N04-S03'!$AZ$18:$AZ$199,2*(ROWS(AU$118:AU122)-1)+1),"")</f>
        <v/>
      </c>
      <c r="AV122" t="str">
        <f>IFERROR(INDEX('N04-S03'!$BA$18:$BA$199,2*(ROWS(AV$118:AV122)-1)+1),"")</f>
        <v/>
      </c>
      <c r="AW122" t="str">
        <f>IFERROR(INDEX('N04-S03'!$BF$18:$BF$199,2*(ROWS(AW$118:AW122)-1)+1),"")</f>
        <v/>
      </c>
      <c r="AX122" t="s">
        <v>820</v>
      </c>
      <c r="AY122" s="170"/>
      <c r="AZ122" s="170"/>
      <c r="BA122" s="170"/>
      <c r="BB122" s="170"/>
      <c r="BC122" s="170"/>
      <c r="BD122" s="170"/>
      <c r="BE122" s="170"/>
      <c r="BF122" s="170"/>
      <c r="BG122" s="170"/>
      <c r="BH122" s="170"/>
      <c r="BI122" s="170"/>
      <c r="BJ122" s="170"/>
      <c r="BK122" s="170"/>
    </row>
    <row r="123" spans="1:63">
      <c r="A123" s="14">
        <f t="shared" si="16"/>
        <v>0</v>
      </c>
      <c r="B123" t="str">
        <f t="shared" si="17"/>
        <v/>
      </c>
      <c r="C123" t="str">
        <f>IFERROR(IF(INDEX('N04-S03'!$BO$18:$BO$199,2*(ROWS($C$118:C123)-1)+1)="","",INDEX('N04-S03'!$BO$18:$BO$199,2*(ROWS($C$118:C123)-1)+1)),"")</f>
        <v/>
      </c>
      <c r="D123" t="s">
        <v>50</v>
      </c>
      <c r="E123" t="s">
        <v>38</v>
      </c>
      <c r="F123" t="s">
        <v>50</v>
      </c>
      <c r="G123" t="str">
        <f>IFERROR(INDEX('N04-S03'!$BG$18:$BG$199,2*(ROWS(G$118:G123)-1)+1),"")</f>
        <v/>
      </c>
      <c r="H123" s="207"/>
      <c r="I123" s="189"/>
      <c r="J123" s="189"/>
      <c r="K123" s="189"/>
      <c r="L123" s="13" t="str">
        <f ca="1">IFERROR(ROUND(IF($AI123&lt;&gt;"","",INDEX('N04-S03'!$AE$18:$AE$199,2*(ROWS(L$118:L123)-1)+1)),2),"")</f>
        <v/>
      </c>
      <c r="N123" s="13" t="str">
        <f ca="1">IFERROR(ROUND(IF($AI123&lt;&gt;"","",INDEX('N04-S03'!$AH$18:$AH$199,2*(ROWS(N$118:N123)-1)+1)),2),"")</f>
        <v/>
      </c>
      <c r="O123" s="13" t="str">
        <f ca="1">IFERROR(ROUND(IF($AI123&lt;&gt;"","",INDEX('N04-S03'!$AB$18:$AB$199,2*(ROWS(O$118:O123)-1)+1)),2),"")</f>
        <v/>
      </c>
      <c r="P123" s="10" t="str">
        <f ca="1">IFERROR(IF(AI123&lt;&gt;"","",ROUND(INDEX('N04-S03'!$BB$18:$BB$199,2*(ROWS(P$118:P123)-1)+1),3)),"")</f>
        <v/>
      </c>
      <c r="Q123" s="10" t="str">
        <f ca="1">IFERROR(IF(AI123&lt;&gt;"","",ROUND(INDEX('N04-S03'!$BC$18:$BC$199,2*(ROWS(Q$118:Q123)-1)+1),3)),"")</f>
        <v/>
      </c>
      <c r="R123" s="207"/>
      <c r="S123" s="25" t="str">
        <f ca="1">IFERROR(IF(AI123&lt;&gt;"","",INDEX('N04-S03'!$AK$18:$AK$199,2*(ROWS(S$118:S123)-1)+1)),"")</f>
        <v/>
      </c>
      <c r="T123" s="31" t="str">
        <f ca="1">IFERROR(IF(AI123&lt;&gt;"","",INDEX('N04-S03'!$BI$18:$BI$199,2*(ROWS(T$118:T123)-1)+1)),"")</f>
        <v/>
      </c>
      <c r="U123" s="31" t="str">
        <f ca="1">IFERROR(IF(AI123&lt;&gt;"","",INDEX('N04-S03'!$BH$18:$BH$199,2*(ROWS(U$118:U123)-1)+1)),"")</f>
        <v/>
      </c>
      <c r="V123" s="13" t="str">
        <f ca="1">IFERROR(IF(AI123&lt;&gt;"","",INDEX('N04-S03'!$AN$18:$AN$199,2*(ROWS(V$118:V123)-1)+1)),"")</f>
        <v/>
      </c>
      <c r="W123" s="207"/>
      <c r="X123" s="207"/>
      <c r="Y123" s="13">
        <f ca="1">IFERROR(IF(AI123&lt;&gt;"",INDEX('N04-S03'!$AE$18:$AE$199,2*(ROWS(Y$118:Y123)-1)+1),""),"")</f>
        <v>0</v>
      </c>
      <c r="AA123" s="13" t="str">
        <f ca="1">IFERROR(IF($AI123&lt;&gt;"",INDEX('N04-S03'!$AH$18:$AH$199,2*(ROWS(AA$118:AA123)-1)+1),""),"")</f>
        <v/>
      </c>
      <c r="AB123" s="13">
        <f ca="1">IFERROR(IF($AI123&lt;&gt;"",INDEX('N04-S03'!$AB$18:$AB$199,2*(ROWS(AB$118:AB123)-1)+1),""),"")</f>
        <v>0</v>
      </c>
      <c r="AC123" s="10" t="str">
        <f ca="1">IFERROR(IF(AI123&lt;&gt;"",ROUND(INDEX('N04-S03'!$BB$18:$BB$199,2*(ROWS(AC$118:AC123)-1)+1),3),""),"")</f>
        <v/>
      </c>
      <c r="AD123" s="10" t="str">
        <f ca="1">IFERROR(IF(AI123&lt;&gt;"",ROUND(INDEX('N04-S03'!$BC$18:$BC$199,2*(ROWS(AD$118:AD123)-1)+1),3),""),"")</f>
        <v/>
      </c>
      <c r="AE123" s="207"/>
      <c r="AF123" s="25" t="str">
        <f ca="1">IFERROR(IF(AI123&lt;&gt;"",INDEX('N04-S03'!$AK$18:$AK$199,2*(ROWS(AF$118:AF123)-1)+1),""),"")</f>
        <v/>
      </c>
      <c r="AG123" s="31">
        <f ca="1">IFERROR(IF(AI123&lt;&gt;"",INDEX('N04-S03'!$BI$18:$BI$199,2*(ROWS(AG$118:AG123)-1)+1),""),"")</f>
        <v>0</v>
      </c>
      <c r="AH123" s="31" t="str">
        <f ca="1">IFERROR(IF(AI123&lt;&gt;"",INDEX('N04-S03'!$BH$18:$BH$199,2*(ROWS(AH$118:AH123)-1)+1),""),"")</f>
        <v/>
      </c>
      <c r="AI123" t="str">
        <f ca="1">IFERROR(INDEX('N04-S03'!$BQ$18:$BQ$199,2*(ROWS(AI$118:AI123)-1)+1),"")</f>
        <v>Submit for Review</v>
      </c>
      <c r="AJ123" s="25" t="str">
        <f>IFERROR(INDEX('N04-S03'!$BD$18:$BD$199,2*(ROWS(AJ$118:AJ123)-1)+1),"")</f>
        <v/>
      </c>
      <c r="AK123" s="25" t="str">
        <f>IFERROR(INDEX('N04-S03'!$BE$18:$BE$199,2*(ROWS(AK$118:AK123)-1)+1),"")</f>
        <v/>
      </c>
      <c r="AL123" s="207"/>
      <c r="AM123" s="207"/>
      <c r="AN123" s="207"/>
      <c r="AO123">
        <f>IFERROR(INDEX('N04-S03'!$B$18:$B$199,2*(ROWS(AO$118:AO123)-1)+1),"")</f>
        <v>6</v>
      </c>
      <c r="AP123" s="189"/>
      <c r="AQ123">
        <f>IFERROR(INDEX('N04-S03'!$C$18:$C$199,2*(ROWS(AQ$118:AQ123)-1)+1),"")</f>
        <v>0</v>
      </c>
      <c r="AR123">
        <f>IFERROR(INDEX('N04-S03'!$L$18:$L$199,2*(ROWS(AR$118:AR123)-1)+1),"")</f>
        <v>0</v>
      </c>
      <c r="AS123">
        <f>IFERROR(INDEX('N04-S03'!$T$18:$T$199,2*(ROWS(AS$118:AS123)-1)+1),"")</f>
        <v>0</v>
      </c>
      <c r="AT123" s="13" t="str">
        <f>IFERROR(INDEX('N04-S03'!$AY$18:$AY$199,2*(ROWS(AT$118:AT123)-1)+1),"")</f>
        <v/>
      </c>
      <c r="AU123" s="13" t="str">
        <f>IFERROR(INDEX('N04-S03'!$AZ$18:$AZ$199,2*(ROWS(AU$118:AU123)-1)+1),"")</f>
        <v/>
      </c>
      <c r="AV123" t="str">
        <f>IFERROR(INDEX('N04-S03'!$BA$18:$BA$199,2*(ROWS(AV$118:AV123)-1)+1),"")</f>
        <v/>
      </c>
      <c r="AW123" t="str">
        <f>IFERROR(INDEX('N04-S03'!$BF$18:$BF$199,2*(ROWS(AW$118:AW123)-1)+1),"")</f>
        <v/>
      </c>
      <c r="AX123" t="s">
        <v>820</v>
      </c>
      <c r="AY123" s="170"/>
      <c r="AZ123" s="170"/>
      <c r="BA123" s="170"/>
      <c r="BB123" s="170"/>
      <c r="BC123" s="170"/>
      <c r="BD123" s="170"/>
      <c r="BE123" s="170"/>
      <c r="BF123" s="170"/>
      <c r="BG123" s="170"/>
      <c r="BH123" s="170"/>
      <c r="BI123" s="170"/>
      <c r="BJ123" s="170"/>
      <c r="BK123" s="170"/>
    </row>
    <row r="124" spans="1:63">
      <c r="A124" s="14">
        <f t="shared" si="16"/>
        <v>0</v>
      </c>
      <c r="B124" t="str">
        <f t="shared" si="17"/>
        <v/>
      </c>
      <c r="C124" t="str">
        <f>IFERROR(IF(INDEX('N04-S03'!$BO$18:$BO$199,2*(ROWS($C$118:C124)-1)+1)="","",INDEX('N04-S03'!$BO$18:$BO$199,2*(ROWS($C$118:C124)-1)+1)),"")</f>
        <v/>
      </c>
      <c r="D124" t="s">
        <v>50</v>
      </c>
      <c r="E124" t="s">
        <v>38</v>
      </c>
      <c r="F124" t="s">
        <v>50</v>
      </c>
      <c r="G124" t="str">
        <f>IFERROR(INDEX('N04-S03'!$BG$18:$BG$199,2*(ROWS(G$118:G124)-1)+1),"")</f>
        <v/>
      </c>
      <c r="H124" s="207"/>
      <c r="I124" s="189"/>
      <c r="J124" s="189"/>
      <c r="K124" s="189"/>
      <c r="L124" s="13" t="str">
        <f ca="1">IFERROR(ROUND(IF($AI124&lt;&gt;"","",INDEX('N04-S03'!$AE$18:$AE$199,2*(ROWS(L$118:L124)-1)+1)),2),"")</f>
        <v/>
      </c>
      <c r="N124" s="13" t="str">
        <f ca="1">IFERROR(ROUND(IF($AI124&lt;&gt;"","",INDEX('N04-S03'!$AH$18:$AH$199,2*(ROWS(N$118:N124)-1)+1)),2),"")</f>
        <v/>
      </c>
      <c r="O124" s="13" t="str">
        <f ca="1">IFERROR(ROUND(IF($AI124&lt;&gt;"","",INDEX('N04-S03'!$AB$18:$AB$199,2*(ROWS(O$118:O124)-1)+1)),2),"")</f>
        <v/>
      </c>
      <c r="P124" s="10" t="str">
        <f ca="1">IFERROR(IF(AI124&lt;&gt;"","",ROUND(INDEX('N04-S03'!$BB$18:$BB$199,2*(ROWS(P$118:P124)-1)+1),3)),"")</f>
        <v/>
      </c>
      <c r="Q124" s="10" t="str">
        <f ca="1">IFERROR(IF(AI124&lt;&gt;"","",ROUND(INDEX('N04-S03'!$BC$18:$BC$199,2*(ROWS(Q$118:Q124)-1)+1),3)),"")</f>
        <v/>
      </c>
      <c r="R124" s="207"/>
      <c r="S124" s="25" t="str">
        <f ca="1">IFERROR(IF(AI124&lt;&gt;"","",INDEX('N04-S03'!$AK$18:$AK$199,2*(ROWS(S$118:S124)-1)+1)),"")</f>
        <v/>
      </c>
      <c r="T124" s="31" t="str">
        <f ca="1">IFERROR(IF(AI124&lt;&gt;"","",INDEX('N04-S03'!$BI$18:$BI$199,2*(ROWS(T$118:T124)-1)+1)),"")</f>
        <v/>
      </c>
      <c r="U124" s="31" t="str">
        <f ca="1">IFERROR(IF(AI124&lt;&gt;"","",INDEX('N04-S03'!$BH$18:$BH$199,2*(ROWS(U$118:U124)-1)+1)),"")</f>
        <v/>
      </c>
      <c r="V124" s="13" t="str">
        <f ca="1">IFERROR(IF(AI124&lt;&gt;"","",INDEX('N04-S03'!$AN$18:$AN$199,2*(ROWS(V$118:V124)-1)+1)),"")</f>
        <v/>
      </c>
      <c r="W124" s="207"/>
      <c r="X124" s="207"/>
      <c r="Y124" s="13">
        <f ca="1">IFERROR(IF(AI124&lt;&gt;"",INDEX('N04-S03'!$AE$18:$AE$199,2*(ROWS(Y$118:Y124)-1)+1),""),"")</f>
        <v>0</v>
      </c>
      <c r="AA124" s="13" t="str">
        <f ca="1">IFERROR(IF($AI124&lt;&gt;"",INDEX('N04-S03'!$AH$18:$AH$199,2*(ROWS(AA$118:AA124)-1)+1),""),"")</f>
        <v/>
      </c>
      <c r="AB124" s="13">
        <f ca="1">IFERROR(IF($AI124&lt;&gt;"",INDEX('N04-S03'!$AB$18:$AB$199,2*(ROWS(AB$118:AB124)-1)+1),""),"")</f>
        <v>0</v>
      </c>
      <c r="AC124" s="10" t="str">
        <f ca="1">IFERROR(IF(AI124&lt;&gt;"",ROUND(INDEX('N04-S03'!$BB$18:$BB$199,2*(ROWS(AC$118:AC124)-1)+1),3),""),"")</f>
        <v/>
      </c>
      <c r="AD124" s="10" t="str">
        <f ca="1">IFERROR(IF(AI124&lt;&gt;"",ROUND(INDEX('N04-S03'!$BC$18:$BC$199,2*(ROWS(AD$118:AD124)-1)+1),3),""),"")</f>
        <v/>
      </c>
      <c r="AE124" s="207"/>
      <c r="AF124" s="25" t="str">
        <f ca="1">IFERROR(IF(AI124&lt;&gt;"",INDEX('N04-S03'!$AK$18:$AK$199,2*(ROWS(AF$118:AF124)-1)+1),""),"")</f>
        <v/>
      </c>
      <c r="AG124" s="31">
        <f ca="1">IFERROR(IF(AI124&lt;&gt;"",INDEX('N04-S03'!$BI$18:$BI$199,2*(ROWS(AG$118:AG124)-1)+1),""),"")</f>
        <v>0</v>
      </c>
      <c r="AH124" s="31" t="str">
        <f ca="1">IFERROR(IF(AI124&lt;&gt;"",INDEX('N04-S03'!$BH$18:$BH$199,2*(ROWS(AH$118:AH124)-1)+1),""),"")</f>
        <v/>
      </c>
      <c r="AI124" t="str">
        <f ca="1">IFERROR(INDEX('N04-S03'!$BQ$18:$BQ$199,2*(ROWS(AI$118:AI124)-1)+1),"")</f>
        <v>Submit for Review</v>
      </c>
      <c r="AJ124" s="25" t="str">
        <f>IFERROR(INDEX('N04-S03'!$BD$18:$BD$199,2*(ROWS(AJ$118:AJ124)-1)+1),"")</f>
        <v/>
      </c>
      <c r="AK124" s="25" t="str">
        <f>IFERROR(INDEX('N04-S03'!$BE$18:$BE$199,2*(ROWS(AK$118:AK124)-1)+1),"")</f>
        <v/>
      </c>
      <c r="AL124" s="207"/>
      <c r="AM124" s="207"/>
      <c r="AN124" s="207"/>
      <c r="AO124">
        <f>IFERROR(INDEX('N04-S03'!$B$18:$B$199,2*(ROWS(AO$118:AO124)-1)+1),"")</f>
        <v>7</v>
      </c>
      <c r="AP124" s="189"/>
      <c r="AQ124">
        <f>IFERROR(INDEX('N04-S03'!$C$18:$C$199,2*(ROWS(AQ$118:AQ124)-1)+1),"")</f>
        <v>0</v>
      </c>
      <c r="AR124">
        <f>IFERROR(INDEX('N04-S03'!$L$18:$L$199,2*(ROWS(AR$118:AR124)-1)+1),"")</f>
        <v>0</v>
      </c>
      <c r="AS124">
        <f>IFERROR(INDEX('N04-S03'!$T$18:$T$199,2*(ROWS(AS$118:AS124)-1)+1),"")</f>
        <v>0</v>
      </c>
      <c r="AT124" s="13" t="str">
        <f>IFERROR(INDEX('N04-S03'!$AY$18:$AY$199,2*(ROWS(AT$118:AT124)-1)+1),"")</f>
        <v/>
      </c>
      <c r="AU124" s="13" t="str">
        <f>IFERROR(INDEX('N04-S03'!$AZ$18:$AZ$199,2*(ROWS(AU$118:AU124)-1)+1),"")</f>
        <v/>
      </c>
      <c r="AV124" t="str">
        <f>IFERROR(INDEX('N04-S03'!$BA$18:$BA$199,2*(ROWS(AV$118:AV124)-1)+1),"")</f>
        <v/>
      </c>
      <c r="AW124" t="str">
        <f>IFERROR(INDEX('N04-S03'!$BF$18:$BF$199,2*(ROWS(AW$118:AW124)-1)+1),"")</f>
        <v/>
      </c>
      <c r="AX124" t="s">
        <v>820</v>
      </c>
      <c r="AY124" s="170"/>
      <c r="AZ124" s="170"/>
      <c r="BA124" s="170"/>
      <c r="BB124" s="170"/>
      <c r="BC124" s="170"/>
      <c r="BD124" s="170"/>
      <c r="BE124" s="170"/>
      <c r="BF124" s="170"/>
      <c r="BG124" s="170"/>
      <c r="BH124" s="170"/>
      <c r="BI124" s="170"/>
      <c r="BJ124" s="170"/>
      <c r="BK124" s="170"/>
    </row>
    <row r="125" spans="1:63">
      <c r="A125" s="14">
        <f t="shared" si="16"/>
        <v>0</v>
      </c>
      <c r="B125" t="str">
        <f t="shared" si="17"/>
        <v/>
      </c>
      <c r="C125" t="str">
        <f>IFERROR(IF(INDEX('N04-S03'!$BO$18:$BO$199,2*(ROWS($C$118:C125)-1)+1)="","",INDEX('N04-S03'!$BO$18:$BO$199,2*(ROWS($C$118:C125)-1)+1)),"")</f>
        <v/>
      </c>
      <c r="D125" t="s">
        <v>50</v>
      </c>
      <c r="E125" t="s">
        <v>38</v>
      </c>
      <c r="F125" t="s">
        <v>50</v>
      </c>
      <c r="G125" t="str">
        <f>IFERROR(INDEX('N04-S03'!$BG$18:$BG$199,2*(ROWS(G$118:G125)-1)+1),"")</f>
        <v/>
      </c>
      <c r="H125" s="207"/>
      <c r="I125" s="189"/>
      <c r="J125" s="189"/>
      <c r="K125" s="189"/>
      <c r="L125" s="13" t="str">
        <f ca="1">IFERROR(ROUND(IF($AI125&lt;&gt;"","",INDEX('N04-S03'!$AE$18:$AE$199,2*(ROWS(L$118:L125)-1)+1)),2),"")</f>
        <v/>
      </c>
      <c r="N125" s="13" t="str">
        <f ca="1">IFERROR(ROUND(IF($AI125&lt;&gt;"","",INDEX('N04-S03'!$AH$18:$AH$199,2*(ROWS(N$118:N125)-1)+1)),2),"")</f>
        <v/>
      </c>
      <c r="O125" s="13" t="str">
        <f ca="1">IFERROR(ROUND(IF($AI125&lt;&gt;"","",INDEX('N04-S03'!$AB$18:$AB$199,2*(ROWS(O$118:O125)-1)+1)),2),"")</f>
        <v/>
      </c>
      <c r="P125" s="10" t="str">
        <f ca="1">IFERROR(IF(AI125&lt;&gt;"","",ROUND(INDEX('N04-S03'!$BB$18:$BB$199,2*(ROWS(P$118:P125)-1)+1),3)),"")</f>
        <v/>
      </c>
      <c r="Q125" s="10" t="str">
        <f ca="1">IFERROR(IF(AI125&lt;&gt;"","",ROUND(INDEX('N04-S03'!$BC$18:$BC$199,2*(ROWS(Q$118:Q125)-1)+1),3)),"")</f>
        <v/>
      </c>
      <c r="R125" s="207"/>
      <c r="S125" s="25" t="str">
        <f ca="1">IFERROR(IF(AI125&lt;&gt;"","",INDEX('N04-S03'!$AK$18:$AK$199,2*(ROWS(S$118:S125)-1)+1)),"")</f>
        <v/>
      </c>
      <c r="T125" s="31" t="str">
        <f ca="1">IFERROR(IF(AI125&lt;&gt;"","",INDEX('N04-S03'!$BI$18:$BI$199,2*(ROWS(T$118:T125)-1)+1)),"")</f>
        <v/>
      </c>
      <c r="U125" s="31" t="str">
        <f ca="1">IFERROR(IF(AI125&lt;&gt;"","",INDEX('N04-S03'!$BH$18:$BH$199,2*(ROWS(U$118:U125)-1)+1)),"")</f>
        <v/>
      </c>
      <c r="V125" s="13" t="str">
        <f ca="1">IFERROR(IF(AI125&lt;&gt;"","",INDEX('N04-S03'!$AN$18:$AN$199,2*(ROWS(V$118:V125)-1)+1)),"")</f>
        <v/>
      </c>
      <c r="W125" s="207"/>
      <c r="X125" s="207"/>
      <c r="Y125" s="13">
        <f ca="1">IFERROR(IF(AI125&lt;&gt;"",INDEX('N04-S03'!$AE$18:$AE$199,2*(ROWS(Y$118:Y125)-1)+1),""),"")</f>
        <v>0</v>
      </c>
      <c r="AA125" s="13" t="str">
        <f ca="1">IFERROR(IF($AI125&lt;&gt;"",INDEX('N04-S03'!$AH$18:$AH$199,2*(ROWS(AA$118:AA125)-1)+1),""),"")</f>
        <v/>
      </c>
      <c r="AB125" s="13">
        <f ca="1">IFERROR(IF($AI125&lt;&gt;"",INDEX('N04-S03'!$AB$18:$AB$199,2*(ROWS(AB$118:AB125)-1)+1),""),"")</f>
        <v>0</v>
      </c>
      <c r="AC125" s="10" t="str">
        <f ca="1">IFERROR(IF(AI125&lt;&gt;"",ROUND(INDEX('N04-S03'!$BB$18:$BB$199,2*(ROWS(AC$118:AC125)-1)+1),3),""),"")</f>
        <v/>
      </c>
      <c r="AD125" s="10" t="str">
        <f ca="1">IFERROR(IF(AI125&lt;&gt;"",ROUND(INDEX('N04-S03'!$BC$18:$BC$199,2*(ROWS(AD$118:AD125)-1)+1),3),""),"")</f>
        <v/>
      </c>
      <c r="AE125" s="207"/>
      <c r="AF125" s="25" t="str">
        <f ca="1">IFERROR(IF(AI125&lt;&gt;"",INDEX('N04-S03'!$AK$18:$AK$199,2*(ROWS(AF$118:AF125)-1)+1),""),"")</f>
        <v/>
      </c>
      <c r="AG125" s="31">
        <f ca="1">IFERROR(IF(AI125&lt;&gt;"",INDEX('N04-S03'!$BI$18:$BI$199,2*(ROWS(AG$118:AG125)-1)+1),""),"")</f>
        <v>0</v>
      </c>
      <c r="AH125" s="31" t="str">
        <f ca="1">IFERROR(IF(AI125&lt;&gt;"",INDEX('N04-S03'!$BH$18:$BH$199,2*(ROWS(AH$118:AH125)-1)+1),""),"")</f>
        <v/>
      </c>
      <c r="AI125" t="str">
        <f ca="1">IFERROR(INDEX('N04-S03'!$BQ$18:$BQ$199,2*(ROWS(AI$118:AI125)-1)+1),"")</f>
        <v>Submit for Review</v>
      </c>
      <c r="AJ125" s="25" t="str">
        <f>IFERROR(INDEX('N04-S03'!$BD$18:$BD$199,2*(ROWS(AJ$118:AJ125)-1)+1),"")</f>
        <v/>
      </c>
      <c r="AK125" s="25" t="str">
        <f>IFERROR(INDEX('N04-S03'!$BE$18:$BE$199,2*(ROWS(AK$118:AK125)-1)+1),"")</f>
        <v/>
      </c>
      <c r="AL125" s="207"/>
      <c r="AM125" s="207"/>
      <c r="AN125" s="207"/>
      <c r="AO125">
        <f>IFERROR(INDEX('N04-S03'!$B$18:$B$199,2*(ROWS(AO$118:AO125)-1)+1),"")</f>
        <v>8</v>
      </c>
      <c r="AP125" s="189"/>
      <c r="AQ125">
        <f>IFERROR(INDEX('N04-S03'!$C$18:$C$199,2*(ROWS(AQ$118:AQ125)-1)+1),"")</f>
        <v>0</v>
      </c>
      <c r="AR125">
        <f>IFERROR(INDEX('N04-S03'!$L$18:$L$199,2*(ROWS(AR$118:AR125)-1)+1),"")</f>
        <v>0</v>
      </c>
      <c r="AS125">
        <f>IFERROR(INDEX('N04-S03'!$T$18:$T$199,2*(ROWS(AS$118:AS125)-1)+1),"")</f>
        <v>0</v>
      </c>
      <c r="AT125" s="13" t="str">
        <f>IFERROR(INDEX('N04-S03'!$AY$18:$AY$199,2*(ROWS(AT$118:AT125)-1)+1),"")</f>
        <v/>
      </c>
      <c r="AU125" s="13" t="str">
        <f>IFERROR(INDEX('N04-S03'!$AZ$18:$AZ$199,2*(ROWS(AU$118:AU125)-1)+1),"")</f>
        <v/>
      </c>
      <c r="AV125" t="str">
        <f>IFERROR(INDEX('N04-S03'!$BA$18:$BA$199,2*(ROWS(AV$118:AV125)-1)+1),"")</f>
        <v/>
      </c>
      <c r="AW125" t="str">
        <f>IFERROR(INDEX('N04-S03'!$BF$18:$BF$199,2*(ROWS(AW$118:AW125)-1)+1),"")</f>
        <v/>
      </c>
      <c r="AX125" t="s">
        <v>820</v>
      </c>
      <c r="AY125" s="170"/>
      <c r="AZ125" s="170"/>
      <c r="BA125" s="170"/>
      <c r="BB125" s="170"/>
      <c r="BC125" s="170"/>
      <c r="BD125" s="170"/>
      <c r="BE125" s="170"/>
      <c r="BF125" s="170"/>
      <c r="BG125" s="170"/>
      <c r="BH125" s="170"/>
      <c r="BI125" s="170"/>
      <c r="BJ125" s="170"/>
      <c r="BK125" s="170"/>
    </row>
    <row r="126" spans="1:63">
      <c r="A126" s="14">
        <f t="shared" si="16"/>
        <v>0</v>
      </c>
      <c r="B126" t="str">
        <f t="shared" si="17"/>
        <v/>
      </c>
      <c r="C126" t="str">
        <f>IFERROR(IF(INDEX('N04-S03'!$BO$18:$BO$199,2*(ROWS($C$118:C126)-1)+1)="","",INDEX('N04-S03'!$BO$18:$BO$199,2*(ROWS($C$118:C126)-1)+1)),"")</f>
        <v/>
      </c>
      <c r="D126" t="s">
        <v>50</v>
      </c>
      <c r="E126" t="s">
        <v>38</v>
      </c>
      <c r="F126" t="s">
        <v>50</v>
      </c>
      <c r="G126" t="str">
        <f>IFERROR(INDEX('N04-S03'!$BG$18:$BG$199,2*(ROWS(G$118:G126)-1)+1),"")</f>
        <v/>
      </c>
      <c r="H126" s="207"/>
      <c r="I126" s="189"/>
      <c r="J126" s="189"/>
      <c r="K126" s="189"/>
      <c r="L126" s="13" t="str">
        <f ca="1">IFERROR(ROUND(IF($AI126&lt;&gt;"","",INDEX('N04-S03'!$AE$18:$AE$199,2*(ROWS(L$118:L126)-1)+1)),2),"")</f>
        <v/>
      </c>
      <c r="N126" s="13" t="str">
        <f ca="1">IFERROR(ROUND(IF($AI126&lt;&gt;"","",INDEX('N04-S03'!$AH$18:$AH$199,2*(ROWS(N$118:N126)-1)+1)),2),"")</f>
        <v/>
      </c>
      <c r="O126" s="13" t="str">
        <f ca="1">IFERROR(ROUND(IF($AI126&lt;&gt;"","",INDEX('N04-S03'!$AB$18:$AB$199,2*(ROWS(O$118:O126)-1)+1)),2),"")</f>
        <v/>
      </c>
      <c r="P126" s="10" t="str">
        <f ca="1">IFERROR(IF(AI126&lt;&gt;"","",ROUND(INDEX('N04-S03'!$BB$18:$BB$199,2*(ROWS(P$118:P126)-1)+1),3)),"")</f>
        <v/>
      </c>
      <c r="Q126" s="10" t="str">
        <f ca="1">IFERROR(IF(AI126&lt;&gt;"","",ROUND(INDEX('N04-S03'!$BC$18:$BC$199,2*(ROWS(Q$118:Q126)-1)+1),3)),"")</f>
        <v/>
      </c>
      <c r="R126" s="207"/>
      <c r="S126" s="25" t="str">
        <f ca="1">IFERROR(IF(AI126&lt;&gt;"","",INDEX('N04-S03'!$AK$18:$AK$199,2*(ROWS(S$118:S126)-1)+1)),"")</f>
        <v/>
      </c>
      <c r="T126" s="31" t="str">
        <f ca="1">IFERROR(IF(AI126&lt;&gt;"","",INDEX('N04-S03'!$BI$18:$BI$199,2*(ROWS(T$118:T126)-1)+1)),"")</f>
        <v/>
      </c>
      <c r="U126" s="31" t="str">
        <f ca="1">IFERROR(IF(AI126&lt;&gt;"","",INDEX('N04-S03'!$BH$18:$BH$199,2*(ROWS(U$118:U126)-1)+1)),"")</f>
        <v/>
      </c>
      <c r="V126" s="13" t="str">
        <f ca="1">IFERROR(IF(AI126&lt;&gt;"","",INDEX('N04-S03'!$AN$18:$AN$199,2*(ROWS(V$118:V126)-1)+1)),"")</f>
        <v/>
      </c>
      <c r="W126" s="207"/>
      <c r="X126" s="207"/>
      <c r="Y126" s="13">
        <f ca="1">IFERROR(IF(AI126&lt;&gt;"",INDEX('N04-S03'!$AE$18:$AE$199,2*(ROWS(Y$118:Y126)-1)+1),""),"")</f>
        <v>0</v>
      </c>
      <c r="AA126" s="13" t="str">
        <f ca="1">IFERROR(IF($AI126&lt;&gt;"",INDEX('N04-S03'!$AH$18:$AH$199,2*(ROWS(AA$118:AA126)-1)+1),""),"")</f>
        <v/>
      </c>
      <c r="AB126" s="13">
        <f ca="1">IFERROR(IF($AI126&lt;&gt;"",INDEX('N04-S03'!$AB$18:$AB$199,2*(ROWS(AB$118:AB126)-1)+1),""),"")</f>
        <v>0</v>
      </c>
      <c r="AC126" s="10" t="str">
        <f ca="1">IFERROR(IF(AI126&lt;&gt;"",ROUND(INDEX('N04-S03'!$BB$18:$BB$199,2*(ROWS(AC$118:AC126)-1)+1),3),""),"")</f>
        <v/>
      </c>
      <c r="AD126" s="10" t="str">
        <f ca="1">IFERROR(IF(AI126&lt;&gt;"",ROUND(INDEX('N04-S03'!$BC$18:$BC$199,2*(ROWS(AD$118:AD126)-1)+1),3),""),"")</f>
        <v/>
      </c>
      <c r="AE126" s="207"/>
      <c r="AF126" s="25" t="str">
        <f ca="1">IFERROR(IF(AI126&lt;&gt;"",INDEX('N04-S03'!$AK$18:$AK$199,2*(ROWS(AF$118:AF126)-1)+1),""),"")</f>
        <v/>
      </c>
      <c r="AG126" s="31">
        <f ca="1">IFERROR(IF(AI126&lt;&gt;"",INDEX('N04-S03'!$BI$18:$BI$199,2*(ROWS(AG$118:AG126)-1)+1),""),"")</f>
        <v>0</v>
      </c>
      <c r="AH126" s="31" t="str">
        <f ca="1">IFERROR(IF(AI126&lt;&gt;"",INDEX('N04-S03'!$BH$18:$BH$199,2*(ROWS(AH$118:AH126)-1)+1),""),"")</f>
        <v/>
      </c>
      <c r="AI126" t="str">
        <f ca="1">IFERROR(INDEX('N04-S03'!$BQ$18:$BQ$199,2*(ROWS(AI$118:AI126)-1)+1),"")</f>
        <v>Submit for Review</v>
      </c>
      <c r="AJ126" s="25" t="str">
        <f>IFERROR(INDEX('N04-S03'!$BD$18:$BD$199,2*(ROWS(AJ$118:AJ126)-1)+1),"")</f>
        <v/>
      </c>
      <c r="AK126" s="25" t="str">
        <f>IFERROR(INDEX('N04-S03'!$BE$18:$BE$199,2*(ROWS(AK$118:AK126)-1)+1),"")</f>
        <v/>
      </c>
      <c r="AL126" s="207"/>
      <c r="AM126" s="207"/>
      <c r="AN126" s="207"/>
      <c r="AO126">
        <f>IFERROR(INDEX('N04-S03'!$B$18:$B$199,2*(ROWS(AO$118:AO126)-1)+1),"")</f>
        <v>9</v>
      </c>
      <c r="AP126" s="189"/>
      <c r="AQ126">
        <f>IFERROR(INDEX('N04-S03'!$C$18:$C$199,2*(ROWS(AQ$118:AQ126)-1)+1),"")</f>
        <v>0</v>
      </c>
      <c r="AR126">
        <f>IFERROR(INDEX('N04-S03'!$L$18:$L$199,2*(ROWS(AR$118:AR126)-1)+1),"")</f>
        <v>0</v>
      </c>
      <c r="AS126">
        <f>IFERROR(INDEX('N04-S03'!$T$18:$T$199,2*(ROWS(AS$118:AS126)-1)+1),"")</f>
        <v>0</v>
      </c>
      <c r="AT126" s="13" t="str">
        <f>IFERROR(INDEX('N04-S03'!$AY$18:$AY$199,2*(ROWS(AT$118:AT126)-1)+1),"")</f>
        <v/>
      </c>
      <c r="AU126" s="13" t="str">
        <f>IFERROR(INDEX('N04-S03'!$AZ$18:$AZ$199,2*(ROWS(AU$118:AU126)-1)+1),"")</f>
        <v/>
      </c>
      <c r="AV126" t="str">
        <f>IFERROR(INDEX('N04-S03'!$BA$18:$BA$199,2*(ROWS(AV$118:AV126)-1)+1),"")</f>
        <v/>
      </c>
      <c r="AW126" t="str">
        <f>IFERROR(INDEX('N04-S03'!$BF$18:$BF$199,2*(ROWS(AW$118:AW126)-1)+1),"")</f>
        <v/>
      </c>
      <c r="AX126" t="s">
        <v>820</v>
      </c>
      <c r="AY126" s="170"/>
      <c r="AZ126" s="170"/>
      <c r="BA126" s="170"/>
      <c r="BB126" s="170"/>
      <c r="BC126" s="170"/>
      <c r="BD126" s="170"/>
      <c r="BE126" s="170"/>
      <c r="BF126" s="170"/>
      <c r="BG126" s="170"/>
      <c r="BH126" s="170"/>
      <c r="BI126" s="170"/>
      <c r="BJ126" s="170"/>
      <c r="BK126" s="170"/>
    </row>
    <row r="127" spans="1:63">
      <c r="A127" s="14">
        <f t="shared" si="16"/>
        <v>0</v>
      </c>
      <c r="B127" t="str">
        <f t="shared" si="17"/>
        <v/>
      </c>
      <c r="C127" t="str">
        <f>IFERROR(IF(INDEX('N04-S03'!$BO$18:$BO$199,2*(ROWS($C$118:C127)-1)+1)="","",INDEX('N04-S03'!$BO$18:$BO$199,2*(ROWS($C$118:C127)-1)+1)),"")</f>
        <v/>
      </c>
      <c r="D127" t="s">
        <v>50</v>
      </c>
      <c r="E127" t="s">
        <v>38</v>
      </c>
      <c r="F127" t="s">
        <v>50</v>
      </c>
      <c r="G127" t="str">
        <f>IFERROR(INDEX('N04-S03'!$BG$18:$BG$199,2*(ROWS(G$118:G127)-1)+1),"")</f>
        <v/>
      </c>
      <c r="H127" s="207"/>
      <c r="I127" s="189"/>
      <c r="J127" s="189"/>
      <c r="K127" s="189"/>
      <c r="L127" s="13" t="str">
        <f ca="1">IFERROR(ROUND(IF($AI127&lt;&gt;"","",INDEX('N04-S03'!$AE$18:$AE$199,2*(ROWS(L$118:L127)-1)+1)),2),"")</f>
        <v/>
      </c>
      <c r="N127" s="13" t="str">
        <f ca="1">IFERROR(ROUND(IF($AI127&lt;&gt;"","",INDEX('N04-S03'!$AH$18:$AH$199,2*(ROWS(N$118:N127)-1)+1)),2),"")</f>
        <v/>
      </c>
      <c r="O127" s="13" t="str">
        <f ca="1">IFERROR(ROUND(IF($AI127&lt;&gt;"","",INDEX('N04-S03'!$AB$18:$AB$199,2*(ROWS(O$118:O127)-1)+1)),2),"")</f>
        <v/>
      </c>
      <c r="P127" s="10" t="str">
        <f ca="1">IFERROR(IF(AI127&lt;&gt;"","",ROUND(INDEX('N04-S03'!$BB$18:$BB$199,2*(ROWS(P$118:P127)-1)+1),3)),"")</f>
        <v/>
      </c>
      <c r="Q127" s="10" t="str">
        <f ca="1">IFERROR(IF(AI127&lt;&gt;"","",ROUND(INDEX('N04-S03'!$BC$18:$BC$199,2*(ROWS(Q$118:Q127)-1)+1),3)),"")</f>
        <v/>
      </c>
      <c r="R127" s="207"/>
      <c r="S127" s="25" t="str">
        <f ca="1">IFERROR(IF(AI127&lt;&gt;"","",INDEX('N04-S03'!$AK$18:$AK$199,2*(ROWS(S$118:S127)-1)+1)),"")</f>
        <v/>
      </c>
      <c r="T127" s="31" t="str">
        <f ca="1">IFERROR(IF(AI127&lt;&gt;"","",INDEX('N04-S03'!$BI$18:$BI$199,2*(ROWS(T$118:T127)-1)+1)),"")</f>
        <v/>
      </c>
      <c r="U127" s="31" t="str">
        <f ca="1">IFERROR(IF(AI127&lt;&gt;"","",INDEX('N04-S03'!$BH$18:$BH$199,2*(ROWS(U$118:U127)-1)+1)),"")</f>
        <v/>
      </c>
      <c r="V127" s="13" t="str">
        <f ca="1">IFERROR(IF(AI127&lt;&gt;"","",INDEX('N04-S03'!$AN$18:$AN$199,2*(ROWS(V$118:V127)-1)+1)),"")</f>
        <v/>
      </c>
      <c r="W127" s="207"/>
      <c r="X127" s="207"/>
      <c r="Y127" s="13">
        <f ca="1">IFERROR(IF(AI127&lt;&gt;"",INDEX('N04-S03'!$AE$18:$AE$199,2*(ROWS(Y$118:Y127)-1)+1),""),"")</f>
        <v>0</v>
      </c>
      <c r="AA127" s="13" t="str">
        <f ca="1">IFERROR(IF($AI127&lt;&gt;"",INDEX('N04-S03'!$AH$18:$AH$199,2*(ROWS(AA$118:AA127)-1)+1),""),"")</f>
        <v/>
      </c>
      <c r="AB127" s="13">
        <f ca="1">IFERROR(IF($AI127&lt;&gt;"",INDEX('N04-S03'!$AB$18:$AB$199,2*(ROWS(AB$118:AB127)-1)+1),""),"")</f>
        <v>0</v>
      </c>
      <c r="AC127" s="10" t="str">
        <f ca="1">IFERROR(IF(AI127&lt;&gt;"",ROUND(INDEX('N04-S03'!$BB$18:$BB$199,2*(ROWS(AC$118:AC127)-1)+1),3),""),"")</f>
        <v/>
      </c>
      <c r="AD127" s="10" t="str">
        <f ca="1">IFERROR(IF(AI127&lt;&gt;"",ROUND(INDEX('N04-S03'!$BC$18:$BC$199,2*(ROWS(AD$118:AD127)-1)+1),3),""),"")</f>
        <v/>
      </c>
      <c r="AE127" s="207"/>
      <c r="AF127" s="25" t="str">
        <f ca="1">IFERROR(IF(AI127&lt;&gt;"",INDEX('N04-S03'!$AK$18:$AK$199,2*(ROWS(AF$118:AF127)-1)+1),""),"")</f>
        <v/>
      </c>
      <c r="AG127" s="31">
        <f ca="1">IFERROR(IF(AI127&lt;&gt;"",INDEX('N04-S03'!$BI$18:$BI$199,2*(ROWS(AG$118:AG127)-1)+1),""),"")</f>
        <v>0</v>
      </c>
      <c r="AH127" s="31" t="str">
        <f ca="1">IFERROR(IF(AI127&lt;&gt;"",INDEX('N04-S03'!$BH$18:$BH$199,2*(ROWS(AH$118:AH127)-1)+1),""),"")</f>
        <v/>
      </c>
      <c r="AI127" t="str">
        <f ca="1">IFERROR(INDEX('N04-S03'!$BQ$18:$BQ$199,2*(ROWS(AI$118:AI127)-1)+1),"")</f>
        <v>Submit for Review</v>
      </c>
      <c r="AJ127" s="25" t="str">
        <f>IFERROR(INDEX('N04-S03'!$BD$18:$BD$199,2*(ROWS(AJ$118:AJ127)-1)+1),"")</f>
        <v/>
      </c>
      <c r="AK127" s="25" t="str">
        <f>IFERROR(INDEX('N04-S03'!$BE$18:$BE$199,2*(ROWS(AK$118:AK127)-1)+1),"")</f>
        <v/>
      </c>
      <c r="AL127" s="207"/>
      <c r="AM127" s="207"/>
      <c r="AN127" s="207"/>
      <c r="AO127">
        <f>IFERROR(INDEX('N04-S03'!$B$18:$B$199,2*(ROWS(AO$118:AO127)-1)+1),"")</f>
        <v>10</v>
      </c>
      <c r="AP127" s="189"/>
      <c r="AQ127">
        <f>IFERROR(INDEX('N04-S03'!$C$18:$C$199,2*(ROWS(AQ$118:AQ127)-1)+1),"")</f>
        <v>0</v>
      </c>
      <c r="AR127">
        <f>IFERROR(INDEX('N04-S03'!$L$18:$L$199,2*(ROWS(AR$118:AR127)-1)+1),"")</f>
        <v>0</v>
      </c>
      <c r="AS127">
        <f>IFERROR(INDEX('N04-S03'!$T$18:$T$199,2*(ROWS(AS$118:AS127)-1)+1),"")</f>
        <v>0</v>
      </c>
      <c r="AT127" s="13" t="str">
        <f>IFERROR(INDEX('N04-S03'!$AY$18:$AY$199,2*(ROWS(AT$118:AT127)-1)+1),"")</f>
        <v/>
      </c>
      <c r="AU127" s="13" t="str">
        <f>IFERROR(INDEX('N04-S03'!$AZ$18:$AZ$199,2*(ROWS(AU$118:AU127)-1)+1),"")</f>
        <v/>
      </c>
      <c r="AV127" t="str">
        <f>IFERROR(INDEX('N04-S03'!$BA$18:$BA$199,2*(ROWS(AV$118:AV127)-1)+1),"")</f>
        <v/>
      </c>
      <c r="AW127" t="str">
        <f>IFERROR(INDEX('N04-S03'!$BF$18:$BF$199,2*(ROWS(AW$118:AW127)-1)+1),"")</f>
        <v/>
      </c>
      <c r="AX127" t="s">
        <v>820</v>
      </c>
      <c r="AY127" s="170"/>
      <c r="AZ127" s="170"/>
      <c r="BA127" s="170"/>
      <c r="BB127" s="170"/>
      <c r="BC127" s="170"/>
      <c r="BD127" s="170"/>
      <c r="BE127" s="170"/>
      <c r="BF127" s="170"/>
      <c r="BG127" s="170"/>
      <c r="BH127" s="170"/>
      <c r="BI127" s="170"/>
      <c r="BJ127" s="170"/>
      <c r="BK127" s="170"/>
    </row>
    <row r="128" spans="1:63">
      <c r="A128" s="14">
        <f t="shared" si="16"/>
        <v>0</v>
      </c>
      <c r="B128" t="str">
        <f t="shared" si="17"/>
        <v/>
      </c>
      <c r="C128" t="str">
        <f>IFERROR(IF(INDEX('N04-S03'!$BO$18:$BO$199,2*(ROWS($C$118:C128)-1)+1)="","",INDEX('N04-S03'!$BO$18:$BO$199,2*(ROWS($C$118:C128)-1)+1)),"")</f>
        <v/>
      </c>
      <c r="D128" t="s">
        <v>50</v>
      </c>
      <c r="E128" t="s">
        <v>38</v>
      </c>
      <c r="F128" t="s">
        <v>50</v>
      </c>
      <c r="G128">
        <f>IFERROR(INDEX('N04-S03'!$BG$18:$BG$199,2*(ROWS(G$118:G128)-1)+1),"")</f>
        <v>0</v>
      </c>
      <c r="H128" s="207"/>
      <c r="I128" s="189"/>
      <c r="J128" s="189"/>
      <c r="K128" s="189"/>
      <c r="L128" s="13" t="str">
        <f>IFERROR(ROUND(IF($AI128&lt;&gt;"","",INDEX('N04-S03'!$AE$18:$AE$199,2*(ROWS(L$118:L128)-1)+1)),2),"")</f>
        <v/>
      </c>
      <c r="N128" s="13" t="str">
        <f>IFERROR(ROUND(IF($AI128&lt;&gt;"","",INDEX('N04-S03'!$AH$18:$AH$199,2*(ROWS(N$118:N128)-1)+1)),2),"")</f>
        <v/>
      </c>
      <c r="O128" s="13" t="str">
        <f>IFERROR(ROUND(IF($AI128&lt;&gt;"","",INDEX('N04-S03'!$AB$18:$AB$199,2*(ROWS(O$118:O128)-1)+1)),2),"")</f>
        <v/>
      </c>
      <c r="P128" s="10" t="str">
        <f>IFERROR(IF(AI128&lt;&gt;"","",ROUND(INDEX('N04-S03'!$BB$18:$BB$199,2*(ROWS(P$118:P128)-1)+1),3)),"")</f>
        <v/>
      </c>
      <c r="Q128" s="10" t="str">
        <f>IFERROR(IF(AI128&lt;&gt;"","",ROUND(INDEX('N04-S03'!$BC$18:$BC$199,2*(ROWS(Q$118:Q128)-1)+1),3)),"")</f>
        <v/>
      </c>
      <c r="R128" s="207"/>
      <c r="S128" s="25" t="str">
        <f>IFERROR(IF(AI128&lt;&gt;"","",INDEX('N04-S03'!$AK$18:$AK$199,2*(ROWS(S$118:S128)-1)+1)),"")</f>
        <v/>
      </c>
      <c r="T128" s="31" t="str">
        <f>IFERROR(IF(AI128&lt;&gt;"","",INDEX('N04-S03'!$BI$18:$BI$199,2*(ROWS(T$118:T128)-1)+1)),"")</f>
        <v/>
      </c>
      <c r="U128" s="31" t="str">
        <f>IFERROR(IF(AI128&lt;&gt;"","",INDEX('N04-S03'!$BH$18:$BH$199,2*(ROWS(U$118:U128)-1)+1)),"")</f>
        <v/>
      </c>
      <c r="V128" s="13" t="str">
        <f>IFERROR(IF(AI128&lt;&gt;"","",INDEX('N04-S03'!$AN$18:$AN$199,2*(ROWS(V$118:V128)-1)+1)),"")</f>
        <v/>
      </c>
      <c r="W128" s="207"/>
      <c r="X128" s="207"/>
      <c r="Y128" s="13">
        <f>IFERROR(IF(AI128&lt;&gt;"",INDEX('N04-S03'!$AE$18:$AE$199,2*(ROWS(Y$118:Y128)-1)+1),""),"")</f>
        <v>0</v>
      </c>
      <c r="AA128" s="13">
        <f>IFERROR(IF($AI128&lt;&gt;"",INDEX('N04-S03'!$AH$18:$AH$199,2*(ROWS(AA$118:AA128)-1)+1),""),"")</f>
        <v>0</v>
      </c>
      <c r="AB128" s="13">
        <f>IFERROR(IF($AI128&lt;&gt;"",INDEX('N04-S03'!$AB$18:$AB$199,2*(ROWS(AB$118:AB128)-1)+1),""),"")</f>
        <v>0</v>
      </c>
      <c r="AC128" s="10">
        <f>IFERROR(IF(AI128&lt;&gt;"",ROUND(INDEX('N04-S03'!$BB$18:$BB$199,2*(ROWS(AC$118:AC128)-1)+1),3),""),"")</f>
        <v>0</v>
      </c>
      <c r="AD128" s="10">
        <f>IFERROR(IF(AI128&lt;&gt;"",ROUND(INDEX('N04-S03'!$BC$18:$BC$199,2*(ROWS(AD$118:AD128)-1)+1),3),""),"")</f>
        <v>0</v>
      </c>
      <c r="AE128" s="207"/>
      <c r="AF128" s="25">
        <f>IFERROR(IF(AI128&lt;&gt;"",INDEX('N04-S03'!$AK$18:$AK$199,2*(ROWS(AF$118:AF128)-1)+1),""),"")</f>
        <v>0</v>
      </c>
      <c r="AG128" s="31">
        <f>IFERROR(IF(AI128&lt;&gt;"",INDEX('N04-S03'!$BI$18:$BI$199,2*(ROWS(AG$118:AG128)-1)+1),""),"")</f>
        <v>0</v>
      </c>
      <c r="AH128" s="31">
        <f>IFERROR(IF(AI128&lt;&gt;"",INDEX('N04-S03'!$BH$18:$BH$199,2*(ROWS(AH$118:AH128)-1)+1),""),"")</f>
        <v>0</v>
      </c>
      <c r="AI128">
        <f>IFERROR(INDEX('N04-S03'!$BQ$18:$BQ$199,2*(ROWS(AI$118:AI128)-1)+1),"")</f>
        <v>0</v>
      </c>
      <c r="AJ128" s="25">
        <f>IFERROR(INDEX('N04-S03'!$BD$18:$BD$199,2*(ROWS(AJ$118:AJ128)-1)+1),"")</f>
        <v>0</v>
      </c>
      <c r="AK128" s="25">
        <f>IFERROR(INDEX('N04-S03'!$BE$18:$BE$199,2*(ROWS(AK$118:AK128)-1)+1),"")</f>
        <v>0</v>
      </c>
      <c r="AL128" s="207"/>
      <c r="AM128" s="207"/>
      <c r="AN128" s="207"/>
      <c r="AO128">
        <f>IFERROR(INDEX('N04-S03'!$B$18:$B$199,2*(ROWS(AO$118:AO128)-1)+1),"")</f>
        <v>0</v>
      </c>
      <c r="AP128" s="189"/>
      <c r="AQ128">
        <f>IFERROR(INDEX('N04-S03'!$C$18:$C$199,2*(ROWS(AQ$118:AQ128)-1)+1),"")</f>
        <v>0</v>
      </c>
      <c r="AR128">
        <f>IFERROR(INDEX('N04-S03'!$L$18:$L$199,2*(ROWS(AR$118:AR128)-1)+1),"")</f>
        <v>0</v>
      </c>
      <c r="AS128">
        <f>IFERROR(INDEX('N04-S03'!$T$18:$T$199,2*(ROWS(AS$118:AS128)-1)+1),"")</f>
        <v>0</v>
      </c>
      <c r="AT128" s="13">
        <f>IFERROR(INDEX('N04-S03'!$AY$18:$AY$199,2*(ROWS(AT$118:AT128)-1)+1),"")</f>
        <v>0</v>
      </c>
      <c r="AU128" s="13">
        <f>IFERROR(INDEX('N04-S03'!$AZ$18:$AZ$199,2*(ROWS(AU$118:AU128)-1)+1),"")</f>
        <v>0</v>
      </c>
      <c r="AV128">
        <f>IFERROR(INDEX('N04-S03'!$BA$18:$BA$199,2*(ROWS(AV$118:AV128)-1)+1),"")</f>
        <v>0</v>
      </c>
      <c r="AW128">
        <f>IFERROR(INDEX('N04-S03'!$BF$18:$BF$199,2*(ROWS(AW$118:AW128)-1)+1),"")</f>
        <v>0</v>
      </c>
      <c r="AX128" t="s">
        <v>820</v>
      </c>
      <c r="AY128" s="170"/>
      <c r="AZ128" s="170"/>
      <c r="BA128" s="170"/>
      <c r="BB128" s="170"/>
      <c r="BC128" s="170"/>
      <c r="BD128" s="170"/>
      <c r="BE128" s="170"/>
      <c r="BF128" s="170"/>
      <c r="BG128" s="170"/>
      <c r="BH128" s="170"/>
      <c r="BI128" s="170"/>
      <c r="BJ128" s="170"/>
      <c r="BK128" s="170"/>
    </row>
    <row r="129" spans="1:63">
      <c r="A129" s="14">
        <f t="shared" si="16"/>
        <v>0</v>
      </c>
      <c r="B129" t="str">
        <f t="shared" si="17"/>
        <v/>
      </c>
      <c r="C129" t="str">
        <f>IFERROR(IF(INDEX('N04-S03'!$BO$18:$BO$199,2*(ROWS($C$118:C129)-1)+1)="","",INDEX('N04-S03'!$BO$18:$BO$199,2*(ROWS($C$118:C129)-1)+1)),"")</f>
        <v/>
      </c>
      <c r="D129" t="s">
        <v>50</v>
      </c>
      <c r="E129" t="s">
        <v>38</v>
      </c>
      <c r="F129" t="s">
        <v>50</v>
      </c>
      <c r="G129">
        <f>IFERROR(INDEX('N04-S03'!$BG$18:$BG$199,2*(ROWS(G$118:G129)-1)+1),"")</f>
        <v>0</v>
      </c>
      <c r="H129" s="207"/>
      <c r="I129" s="189"/>
      <c r="J129" s="189"/>
      <c r="K129" s="189"/>
      <c r="L129" s="13" t="str">
        <f>IFERROR(ROUND(IF($AI129&lt;&gt;"","",INDEX('N04-S03'!$AE$18:$AE$199,2*(ROWS(L$118:L129)-1)+1)),2),"")</f>
        <v/>
      </c>
      <c r="N129" s="13" t="str">
        <f>IFERROR(ROUND(IF($AI129&lt;&gt;"","",INDEX('N04-S03'!$AH$18:$AH$199,2*(ROWS(N$118:N129)-1)+1)),2),"")</f>
        <v/>
      </c>
      <c r="O129" s="13" t="str">
        <f>IFERROR(ROUND(IF($AI129&lt;&gt;"","",INDEX('N04-S03'!$AB$18:$AB$199,2*(ROWS(O$118:O129)-1)+1)),2),"")</f>
        <v/>
      </c>
      <c r="P129" s="10" t="str">
        <f>IFERROR(IF(AI129&lt;&gt;"","",ROUND(INDEX('N04-S03'!$BB$18:$BB$199,2*(ROWS(P$118:P129)-1)+1),3)),"")</f>
        <v/>
      </c>
      <c r="Q129" s="10" t="str">
        <f>IFERROR(IF(AI129&lt;&gt;"","",ROUND(INDEX('N04-S03'!$BC$18:$BC$199,2*(ROWS(Q$118:Q129)-1)+1),3)),"")</f>
        <v/>
      </c>
      <c r="R129" s="207"/>
      <c r="S129" s="25" t="str">
        <f>IFERROR(IF(AI129&lt;&gt;"","",INDEX('N04-S03'!$AK$18:$AK$199,2*(ROWS(S$118:S129)-1)+1)),"")</f>
        <v/>
      </c>
      <c r="T129" s="31" t="str">
        <f>IFERROR(IF(AI129&lt;&gt;"","",INDEX('N04-S03'!$BI$18:$BI$199,2*(ROWS(T$118:T129)-1)+1)),"")</f>
        <v/>
      </c>
      <c r="U129" s="31" t="str">
        <f>IFERROR(IF(AI129&lt;&gt;"","",INDEX('N04-S03'!$BH$18:$BH$199,2*(ROWS(U$118:U129)-1)+1)),"")</f>
        <v/>
      </c>
      <c r="V129" s="13" t="str">
        <f>IFERROR(IF(AI129&lt;&gt;"","",INDEX('N04-S03'!$AN$18:$AN$199,2*(ROWS(V$118:V129)-1)+1)),"")</f>
        <v/>
      </c>
      <c r="W129" s="207"/>
      <c r="X129" s="207"/>
      <c r="Y129" s="13">
        <f>IFERROR(IF(AI129&lt;&gt;"",INDEX('N04-S03'!$AE$18:$AE$199,2*(ROWS(Y$118:Y129)-1)+1),""),"")</f>
        <v>0</v>
      </c>
      <c r="AA129" s="13">
        <f>IFERROR(IF($AI129&lt;&gt;"",INDEX('N04-S03'!$AH$18:$AH$199,2*(ROWS(AA$118:AA129)-1)+1),""),"")</f>
        <v>0</v>
      </c>
      <c r="AB129" s="13">
        <f>IFERROR(IF($AI129&lt;&gt;"",INDEX('N04-S03'!$AB$18:$AB$199,2*(ROWS(AB$118:AB129)-1)+1),""),"")</f>
        <v>0</v>
      </c>
      <c r="AC129" s="10">
        <f>IFERROR(IF(AI129&lt;&gt;"",ROUND(INDEX('N04-S03'!$BB$18:$BB$199,2*(ROWS(AC$118:AC129)-1)+1),3),""),"")</f>
        <v>0</v>
      </c>
      <c r="AD129" s="10">
        <f>IFERROR(IF(AI129&lt;&gt;"",ROUND(INDEX('N04-S03'!$BC$18:$BC$199,2*(ROWS(AD$118:AD129)-1)+1),3),""),"")</f>
        <v>0</v>
      </c>
      <c r="AE129" s="207"/>
      <c r="AF129" s="25">
        <f>IFERROR(IF(AI129&lt;&gt;"",INDEX('N04-S03'!$AK$18:$AK$199,2*(ROWS(AF$118:AF129)-1)+1),""),"")</f>
        <v>0</v>
      </c>
      <c r="AG129" s="31">
        <f>IFERROR(IF(AI129&lt;&gt;"",INDEX('N04-S03'!$BI$18:$BI$199,2*(ROWS(AG$118:AG129)-1)+1),""),"")</f>
        <v>0</v>
      </c>
      <c r="AH129" s="31">
        <f>IFERROR(IF(AI129&lt;&gt;"",INDEX('N04-S03'!$BH$18:$BH$199,2*(ROWS(AH$118:AH129)-1)+1),""),"")</f>
        <v>0</v>
      </c>
      <c r="AI129">
        <f>IFERROR(INDEX('N04-S03'!$BQ$18:$BQ$199,2*(ROWS(AI$118:AI129)-1)+1),"")</f>
        <v>0</v>
      </c>
      <c r="AJ129" s="25">
        <f>IFERROR(INDEX('N04-S03'!$BD$18:$BD$199,2*(ROWS(AJ$118:AJ129)-1)+1),"")</f>
        <v>0</v>
      </c>
      <c r="AK129" s="25">
        <f>IFERROR(INDEX('N04-S03'!$BE$18:$BE$199,2*(ROWS(AK$118:AK129)-1)+1),"")</f>
        <v>0</v>
      </c>
      <c r="AL129" s="207"/>
      <c r="AM129" s="207"/>
      <c r="AN129" s="207"/>
      <c r="AO129">
        <f>IFERROR(INDEX('N04-S03'!$B$18:$B$199,2*(ROWS(AO$118:AO129)-1)+1),"")</f>
        <v>0</v>
      </c>
      <c r="AP129" s="189"/>
      <c r="AQ129">
        <f>IFERROR(INDEX('N04-S03'!$C$18:$C$199,2*(ROWS(AQ$118:AQ129)-1)+1),"")</f>
        <v>0</v>
      </c>
      <c r="AR129">
        <f>IFERROR(INDEX('N04-S03'!$L$18:$L$199,2*(ROWS(AR$118:AR129)-1)+1),"")</f>
        <v>0</v>
      </c>
      <c r="AS129">
        <f>IFERROR(INDEX('N04-S03'!$T$18:$T$199,2*(ROWS(AS$118:AS129)-1)+1),"")</f>
        <v>0</v>
      </c>
      <c r="AT129" s="13">
        <f>IFERROR(INDEX('N04-S03'!$AY$18:$AY$199,2*(ROWS(AT$118:AT129)-1)+1),"")</f>
        <v>0</v>
      </c>
      <c r="AU129" s="13">
        <f>IFERROR(INDEX('N04-S03'!$AZ$18:$AZ$199,2*(ROWS(AU$118:AU129)-1)+1),"")</f>
        <v>0</v>
      </c>
      <c r="AV129">
        <f>IFERROR(INDEX('N04-S03'!$BA$18:$BA$199,2*(ROWS(AV$118:AV129)-1)+1),"")</f>
        <v>0</v>
      </c>
      <c r="AW129">
        <f>IFERROR(INDEX('N04-S03'!$BF$18:$BF$199,2*(ROWS(AW$118:AW129)-1)+1),"")</f>
        <v>0</v>
      </c>
      <c r="AX129" t="s">
        <v>820</v>
      </c>
      <c r="AY129" s="170"/>
      <c r="AZ129" s="170"/>
      <c r="BA129" s="170"/>
      <c r="BB129" s="170"/>
      <c r="BC129" s="170"/>
      <c r="BD129" s="170"/>
      <c r="BE129" s="170"/>
      <c r="BF129" s="170"/>
      <c r="BG129" s="170"/>
      <c r="BH129" s="170"/>
      <c r="BI129" s="170"/>
      <c r="BJ129" s="170"/>
      <c r="BK129" s="170"/>
    </row>
    <row r="130" spans="1:63">
      <c r="A130" s="14">
        <f t="shared" si="16"/>
        <v>0</v>
      </c>
      <c r="B130" t="str">
        <f t="shared" si="17"/>
        <v/>
      </c>
      <c r="C130" t="str">
        <f>IFERROR(IF(INDEX('N04-S03'!$BO$18:$BO$199,2*(ROWS($C$118:C130)-1)+1)="","",INDEX('N04-S03'!$BO$18:$BO$199,2*(ROWS($C$118:C130)-1)+1)),"")</f>
        <v/>
      </c>
      <c r="D130" t="s">
        <v>50</v>
      </c>
      <c r="E130" t="s">
        <v>38</v>
      </c>
      <c r="F130" t="s">
        <v>50</v>
      </c>
      <c r="G130">
        <f>IFERROR(INDEX('N04-S03'!$BG$18:$BG$199,2*(ROWS(G$118:G130)-1)+1),"")</f>
        <v>0</v>
      </c>
      <c r="H130" s="207"/>
      <c r="I130" s="189"/>
      <c r="J130" s="189"/>
      <c r="K130" s="189"/>
      <c r="L130" s="13" t="str">
        <f>IFERROR(ROUND(IF($AI130&lt;&gt;"","",INDEX('N04-S03'!$AE$18:$AE$199,2*(ROWS(L$118:L130)-1)+1)),2),"")</f>
        <v/>
      </c>
      <c r="N130" s="13" t="str">
        <f>IFERROR(ROUND(IF($AI130&lt;&gt;"","",INDEX('N04-S03'!$AH$18:$AH$199,2*(ROWS(N$118:N130)-1)+1)),2),"")</f>
        <v/>
      </c>
      <c r="O130" s="13" t="str">
        <f>IFERROR(ROUND(IF($AI130&lt;&gt;"","",INDEX('N04-S03'!$AB$18:$AB$199,2*(ROWS(O$118:O130)-1)+1)),2),"")</f>
        <v/>
      </c>
      <c r="P130" s="10" t="str">
        <f>IFERROR(IF(AI130&lt;&gt;"","",ROUND(INDEX('N04-S03'!$BB$18:$BB$199,2*(ROWS(P$118:P130)-1)+1),3)),"")</f>
        <v/>
      </c>
      <c r="Q130" s="10" t="str">
        <f>IFERROR(IF(AI130&lt;&gt;"","",ROUND(INDEX('N04-S03'!$BC$18:$BC$199,2*(ROWS(Q$118:Q130)-1)+1),3)),"")</f>
        <v/>
      </c>
      <c r="R130" s="207"/>
      <c r="S130" s="25" t="str">
        <f>IFERROR(IF(AI130&lt;&gt;"","",INDEX('N04-S03'!$AK$18:$AK$199,2*(ROWS(S$118:S130)-1)+1)),"")</f>
        <v/>
      </c>
      <c r="T130" s="31" t="str">
        <f>IFERROR(IF(AI130&lt;&gt;"","",INDEX('N04-S03'!$BI$18:$BI$199,2*(ROWS(T$118:T130)-1)+1)),"")</f>
        <v/>
      </c>
      <c r="U130" s="31" t="str">
        <f>IFERROR(IF(AI130&lt;&gt;"","",INDEX('N04-S03'!$BH$18:$BH$199,2*(ROWS(U$118:U130)-1)+1)),"")</f>
        <v/>
      </c>
      <c r="V130" s="13" t="str">
        <f>IFERROR(IF(AI130&lt;&gt;"","",INDEX('N04-S03'!$AN$18:$AN$199,2*(ROWS(V$118:V130)-1)+1)),"")</f>
        <v/>
      </c>
      <c r="W130" s="207"/>
      <c r="X130" s="207"/>
      <c r="Y130" s="13">
        <f>IFERROR(IF(AI130&lt;&gt;"",INDEX('N04-S03'!$AE$18:$AE$199,2*(ROWS(Y$118:Y130)-1)+1),""),"")</f>
        <v>0</v>
      </c>
      <c r="AA130" s="13">
        <f>IFERROR(IF($AI130&lt;&gt;"",INDEX('N04-S03'!$AH$18:$AH$199,2*(ROWS(AA$118:AA130)-1)+1),""),"")</f>
        <v>0</v>
      </c>
      <c r="AB130" s="13">
        <f>IFERROR(IF($AI130&lt;&gt;"",INDEX('N04-S03'!$AB$18:$AB$199,2*(ROWS(AB$118:AB130)-1)+1),""),"")</f>
        <v>0</v>
      </c>
      <c r="AC130" s="10">
        <f>IFERROR(IF(AI130&lt;&gt;"",ROUND(INDEX('N04-S03'!$BB$18:$BB$199,2*(ROWS(AC$118:AC130)-1)+1),3),""),"")</f>
        <v>0</v>
      </c>
      <c r="AD130" s="10">
        <f>IFERROR(IF(AI130&lt;&gt;"",ROUND(INDEX('N04-S03'!$BC$18:$BC$199,2*(ROWS(AD$118:AD130)-1)+1),3),""),"")</f>
        <v>0</v>
      </c>
      <c r="AE130" s="207"/>
      <c r="AF130" s="25">
        <f>IFERROR(IF(AI130&lt;&gt;"",INDEX('N04-S03'!$AK$18:$AK$199,2*(ROWS(AF$118:AF130)-1)+1),""),"")</f>
        <v>0</v>
      </c>
      <c r="AG130" s="31">
        <f>IFERROR(IF(AI130&lt;&gt;"",INDEX('N04-S03'!$BI$18:$BI$199,2*(ROWS(AG$118:AG130)-1)+1),""),"")</f>
        <v>0</v>
      </c>
      <c r="AH130" s="31">
        <f>IFERROR(IF(AI130&lt;&gt;"",INDEX('N04-S03'!$BH$18:$BH$199,2*(ROWS(AH$118:AH130)-1)+1),""),"")</f>
        <v>0</v>
      </c>
      <c r="AI130">
        <f>IFERROR(INDEX('N04-S03'!$BQ$18:$BQ$199,2*(ROWS(AI$118:AI130)-1)+1),"")</f>
        <v>0</v>
      </c>
      <c r="AJ130" s="25">
        <f>IFERROR(INDEX('N04-S03'!$BD$18:$BD$199,2*(ROWS(AJ$118:AJ130)-1)+1),"")</f>
        <v>0</v>
      </c>
      <c r="AK130" s="25">
        <f>IFERROR(INDEX('N04-S03'!$BE$18:$BE$199,2*(ROWS(AK$118:AK130)-1)+1),"")</f>
        <v>0</v>
      </c>
      <c r="AL130" s="207"/>
      <c r="AM130" s="207"/>
      <c r="AN130" s="207"/>
      <c r="AO130">
        <f>IFERROR(INDEX('N04-S03'!$B$18:$B$199,2*(ROWS(AO$118:AO130)-1)+1),"")</f>
        <v>0</v>
      </c>
      <c r="AP130" s="189"/>
      <c r="AQ130">
        <f>IFERROR(INDEX('N04-S03'!$C$18:$C$199,2*(ROWS(AQ$118:AQ130)-1)+1),"")</f>
        <v>0</v>
      </c>
      <c r="AR130">
        <f>IFERROR(INDEX('N04-S03'!$L$18:$L$199,2*(ROWS(AR$118:AR130)-1)+1),"")</f>
        <v>0</v>
      </c>
      <c r="AS130">
        <f>IFERROR(INDEX('N04-S03'!$T$18:$T$199,2*(ROWS(AS$118:AS130)-1)+1),"")</f>
        <v>0</v>
      </c>
      <c r="AT130" s="13">
        <f>IFERROR(INDEX('N04-S03'!$AY$18:$AY$199,2*(ROWS(AT$118:AT130)-1)+1),"")</f>
        <v>0</v>
      </c>
      <c r="AU130" s="13">
        <f>IFERROR(INDEX('N04-S03'!$AZ$18:$AZ$199,2*(ROWS(AU$118:AU130)-1)+1),"")</f>
        <v>0</v>
      </c>
      <c r="AV130">
        <f>IFERROR(INDEX('N04-S03'!$BA$18:$BA$199,2*(ROWS(AV$118:AV130)-1)+1),"")</f>
        <v>0</v>
      </c>
      <c r="AW130">
        <f>IFERROR(INDEX('N04-S03'!$BF$18:$BF$199,2*(ROWS(AW$118:AW130)-1)+1),"")</f>
        <v>0</v>
      </c>
      <c r="AX130" t="s">
        <v>820</v>
      </c>
      <c r="AY130" s="170"/>
      <c r="AZ130" s="170"/>
      <c r="BA130" s="170"/>
      <c r="BB130" s="170"/>
      <c r="BC130" s="170"/>
      <c r="BD130" s="170"/>
      <c r="BE130" s="170"/>
      <c r="BF130" s="170"/>
      <c r="BG130" s="170"/>
      <c r="BH130" s="170"/>
      <c r="BI130" s="170"/>
      <c r="BJ130" s="170"/>
      <c r="BK130" s="170"/>
    </row>
    <row r="131" spans="1:63">
      <c r="A131" s="14">
        <f t="shared" si="16"/>
        <v>0</v>
      </c>
      <c r="B131" t="str">
        <f t="shared" si="17"/>
        <v/>
      </c>
      <c r="C131" t="str">
        <f>IFERROR(IF(INDEX('N04-S03'!$BO$18:$BO$199,2*(ROWS($C$118:C131)-1)+1)="","",INDEX('N04-S03'!$BO$18:$BO$199,2*(ROWS($C$118:C131)-1)+1)),"")</f>
        <v/>
      </c>
      <c r="D131" t="s">
        <v>50</v>
      </c>
      <c r="E131" t="s">
        <v>38</v>
      </c>
      <c r="F131" t="s">
        <v>50</v>
      </c>
      <c r="G131">
        <f>IFERROR(INDEX('N04-S03'!$BG$18:$BG$199,2*(ROWS(G$118:G131)-1)+1),"")</f>
        <v>0</v>
      </c>
      <c r="H131" s="207"/>
      <c r="I131" s="189"/>
      <c r="J131" s="189"/>
      <c r="K131" s="189"/>
      <c r="L131" s="13" t="str">
        <f>IFERROR(ROUND(IF($AI131&lt;&gt;"","",INDEX('N04-S03'!$AE$18:$AE$199,2*(ROWS(L$118:L131)-1)+1)),2),"")</f>
        <v/>
      </c>
      <c r="N131" s="13" t="str">
        <f>IFERROR(ROUND(IF($AI131&lt;&gt;"","",INDEX('N04-S03'!$AH$18:$AH$199,2*(ROWS(N$118:N131)-1)+1)),2),"")</f>
        <v/>
      </c>
      <c r="O131" s="13" t="str">
        <f>IFERROR(ROUND(IF($AI131&lt;&gt;"","",INDEX('N04-S03'!$AB$18:$AB$199,2*(ROWS(O$118:O131)-1)+1)),2),"")</f>
        <v/>
      </c>
      <c r="P131" s="10" t="str">
        <f>IFERROR(IF(AI131&lt;&gt;"","",ROUND(INDEX('N04-S03'!$BB$18:$BB$199,2*(ROWS(P$118:P131)-1)+1),3)),"")</f>
        <v/>
      </c>
      <c r="Q131" s="10" t="str">
        <f>IFERROR(IF(AI131&lt;&gt;"","",ROUND(INDEX('N04-S03'!$BC$18:$BC$199,2*(ROWS(Q$118:Q131)-1)+1),3)),"")</f>
        <v/>
      </c>
      <c r="R131" s="207"/>
      <c r="S131" s="25" t="str">
        <f>IFERROR(IF(AI131&lt;&gt;"","",INDEX('N04-S03'!$AK$18:$AK$199,2*(ROWS(S$118:S131)-1)+1)),"")</f>
        <v/>
      </c>
      <c r="T131" s="31" t="str">
        <f>IFERROR(IF(AI131&lt;&gt;"","",INDEX('N04-S03'!$BI$18:$BI$199,2*(ROWS(T$118:T131)-1)+1)),"")</f>
        <v/>
      </c>
      <c r="U131" s="31" t="str">
        <f>IFERROR(IF(AI131&lt;&gt;"","",INDEX('N04-S03'!$BH$18:$BH$199,2*(ROWS(U$118:U131)-1)+1)),"")</f>
        <v/>
      </c>
      <c r="V131" s="13" t="str">
        <f>IFERROR(IF(AI131&lt;&gt;"","",INDEX('N04-S03'!$AN$18:$AN$199,2*(ROWS(V$118:V131)-1)+1)),"")</f>
        <v/>
      </c>
      <c r="W131" s="207"/>
      <c r="X131" s="207"/>
      <c r="Y131" s="13">
        <f>IFERROR(IF(AI131&lt;&gt;"",INDEX('N04-S03'!$AE$18:$AE$199,2*(ROWS(Y$118:Y131)-1)+1),""),"")</f>
        <v>0</v>
      </c>
      <c r="AA131" s="13">
        <f>IFERROR(IF($AI131&lt;&gt;"",INDEX('N04-S03'!$AH$18:$AH$199,2*(ROWS(AA$118:AA131)-1)+1),""),"")</f>
        <v>0</v>
      </c>
      <c r="AB131" s="13">
        <f>IFERROR(IF($AI131&lt;&gt;"",INDEX('N04-S03'!$AB$18:$AB$199,2*(ROWS(AB$118:AB131)-1)+1),""),"")</f>
        <v>0</v>
      </c>
      <c r="AC131" s="10">
        <f>IFERROR(IF(AI131&lt;&gt;"",ROUND(INDEX('N04-S03'!$BB$18:$BB$199,2*(ROWS(AC$118:AC131)-1)+1),3),""),"")</f>
        <v>0</v>
      </c>
      <c r="AD131" s="10">
        <f>IFERROR(IF(AI131&lt;&gt;"",ROUND(INDEX('N04-S03'!$BC$18:$BC$199,2*(ROWS(AD$118:AD131)-1)+1),3),""),"")</f>
        <v>0</v>
      </c>
      <c r="AE131" s="207"/>
      <c r="AF131" s="25">
        <f>IFERROR(IF(AI131&lt;&gt;"",INDEX('N04-S03'!$AK$18:$AK$199,2*(ROWS(AF$118:AF131)-1)+1),""),"")</f>
        <v>0</v>
      </c>
      <c r="AG131" s="31">
        <f>IFERROR(IF(AI131&lt;&gt;"",INDEX('N04-S03'!$BI$18:$BI$199,2*(ROWS(AG$118:AG131)-1)+1),""),"")</f>
        <v>0</v>
      </c>
      <c r="AH131" s="31">
        <f>IFERROR(IF(AI131&lt;&gt;"",INDEX('N04-S03'!$BH$18:$BH$199,2*(ROWS(AH$118:AH131)-1)+1),""),"")</f>
        <v>0</v>
      </c>
      <c r="AI131">
        <f>IFERROR(INDEX('N04-S03'!$BQ$18:$BQ$199,2*(ROWS(AI$118:AI131)-1)+1),"")</f>
        <v>0</v>
      </c>
      <c r="AJ131" s="25">
        <f>IFERROR(INDEX('N04-S03'!$BD$18:$BD$199,2*(ROWS(AJ$118:AJ131)-1)+1),"")</f>
        <v>0</v>
      </c>
      <c r="AK131" s="25">
        <f>IFERROR(INDEX('N04-S03'!$BE$18:$BE$199,2*(ROWS(AK$118:AK131)-1)+1),"")</f>
        <v>0</v>
      </c>
      <c r="AL131" s="207"/>
      <c r="AM131" s="207"/>
      <c r="AN131" s="207"/>
      <c r="AO131">
        <f>IFERROR(INDEX('N04-S03'!$B$18:$B$199,2*(ROWS(AO$118:AO131)-1)+1),"")</f>
        <v>0</v>
      </c>
      <c r="AP131" s="189"/>
      <c r="AQ131">
        <f>IFERROR(INDEX('N04-S03'!$C$18:$C$199,2*(ROWS(AQ$118:AQ131)-1)+1),"")</f>
        <v>0</v>
      </c>
      <c r="AR131">
        <f>IFERROR(INDEX('N04-S03'!$L$18:$L$199,2*(ROWS(AR$118:AR131)-1)+1),"")</f>
        <v>0</v>
      </c>
      <c r="AS131">
        <f>IFERROR(INDEX('N04-S03'!$T$18:$T$199,2*(ROWS(AS$118:AS131)-1)+1),"")</f>
        <v>0</v>
      </c>
      <c r="AT131" s="13">
        <f>IFERROR(INDEX('N04-S03'!$AY$18:$AY$199,2*(ROWS(AT$118:AT131)-1)+1),"")</f>
        <v>0</v>
      </c>
      <c r="AU131" s="13">
        <f>IFERROR(INDEX('N04-S03'!$AZ$18:$AZ$199,2*(ROWS(AU$118:AU131)-1)+1),"")</f>
        <v>0</v>
      </c>
      <c r="AV131">
        <f>IFERROR(INDEX('N04-S03'!$BA$18:$BA$199,2*(ROWS(AV$118:AV131)-1)+1),"")</f>
        <v>0</v>
      </c>
      <c r="AW131">
        <f>IFERROR(INDEX('N04-S03'!$BF$18:$BF$199,2*(ROWS(AW$118:AW131)-1)+1),"")</f>
        <v>0</v>
      </c>
      <c r="AX131" t="s">
        <v>820</v>
      </c>
      <c r="AY131" s="170"/>
      <c r="AZ131" s="170"/>
      <c r="BA131" s="170"/>
      <c r="BB131" s="170"/>
      <c r="BC131" s="170"/>
      <c r="BD131" s="170"/>
      <c r="BE131" s="170"/>
      <c r="BF131" s="170"/>
      <c r="BG131" s="170"/>
      <c r="BH131" s="170"/>
      <c r="BI131" s="170"/>
      <c r="BJ131" s="170"/>
      <c r="BK131" s="170"/>
    </row>
    <row r="132" spans="1:63">
      <c r="A132" s="14">
        <f t="shared" si="16"/>
        <v>0</v>
      </c>
      <c r="B132" t="str">
        <f t="shared" si="17"/>
        <v/>
      </c>
      <c r="C132" t="str">
        <f>IFERROR(IF(INDEX('N04-S03'!$BO$18:$BO$199,2*(ROWS($C$118:C132)-1)+1)="","",INDEX('N04-S03'!$BO$18:$BO$199,2*(ROWS($C$118:C132)-1)+1)),"")</f>
        <v/>
      </c>
      <c r="D132" t="s">
        <v>50</v>
      </c>
      <c r="E132" t="s">
        <v>38</v>
      </c>
      <c r="F132" t="s">
        <v>50</v>
      </c>
      <c r="G132">
        <f>IFERROR(INDEX('N04-S03'!$BG$18:$BG$199,2*(ROWS(G$118:G132)-1)+1),"")</f>
        <v>0</v>
      </c>
      <c r="H132" s="207"/>
      <c r="I132" s="189"/>
      <c r="J132" s="189"/>
      <c r="K132" s="189"/>
      <c r="L132" s="13" t="str">
        <f>IFERROR(ROUND(IF($AI132&lt;&gt;"","",INDEX('N04-S03'!$AE$18:$AE$199,2*(ROWS(L$118:L132)-1)+1)),2),"")</f>
        <v/>
      </c>
      <c r="N132" s="13" t="str">
        <f>IFERROR(ROUND(IF($AI132&lt;&gt;"","",INDEX('N04-S03'!$AH$18:$AH$199,2*(ROWS(N$118:N132)-1)+1)),2),"")</f>
        <v/>
      </c>
      <c r="O132" s="13" t="str">
        <f>IFERROR(ROUND(IF($AI132&lt;&gt;"","",INDEX('N04-S03'!$AB$18:$AB$199,2*(ROWS(O$118:O132)-1)+1)),2),"")</f>
        <v/>
      </c>
      <c r="P132" s="10" t="str">
        <f>IFERROR(IF(AI132&lt;&gt;"","",ROUND(INDEX('N04-S03'!$BB$18:$BB$199,2*(ROWS(P$118:P132)-1)+1),3)),"")</f>
        <v/>
      </c>
      <c r="Q132" s="10" t="str">
        <f>IFERROR(IF(AI132&lt;&gt;"","",ROUND(INDEX('N04-S03'!$BC$18:$BC$199,2*(ROWS(Q$118:Q132)-1)+1),3)),"")</f>
        <v/>
      </c>
      <c r="R132" s="207"/>
      <c r="S132" s="25" t="str">
        <f>IFERROR(IF(AI132&lt;&gt;"","",INDEX('N04-S03'!$AK$18:$AK$199,2*(ROWS(S$118:S132)-1)+1)),"")</f>
        <v/>
      </c>
      <c r="T132" s="31" t="str">
        <f>IFERROR(IF(AI132&lt;&gt;"","",INDEX('N04-S03'!$BI$18:$BI$199,2*(ROWS(T$118:T132)-1)+1)),"")</f>
        <v/>
      </c>
      <c r="U132" s="31" t="str">
        <f>IFERROR(IF(AI132&lt;&gt;"","",INDEX('N04-S03'!$BH$18:$BH$199,2*(ROWS(U$118:U132)-1)+1)),"")</f>
        <v/>
      </c>
      <c r="V132" s="13" t="str">
        <f>IFERROR(IF(AI132&lt;&gt;"","",INDEX('N04-S03'!$AN$18:$AN$199,2*(ROWS(V$118:V132)-1)+1)),"")</f>
        <v/>
      </c>
      <c r="W132" s="207"/>
      <c r="X132" s="207"/>
      <c r="Y132" s="13">
        <f>IFERROR(IF(AI132&lt;&gt;"",INDEX('N04-S03'!$AE$18:$AE$199,2*(ROWS(Y$118:Y132)-1)+1),""),"")</f>
        <v>0</v>
      </c>
      <c r="AA132" s="13">
        <f>IFERROR(IF($AI132&lt;&gt;"",INDEX('N04-S03'!$AH$18:$AH$199,2*(ROWS(AA$118:AA132)-1)+1),""),"")</f>
        <v>0</v>
      </c>
      <c r="AB132" s="13">
        <f>IFERROR(IF($AI132&lt;&gt;"",INDEX('N04-S03'!$AB$18:$AB$199,2*(ROWS(AB$118:AB132)-1)+1),""),"")</f>
        <v>0</v>
      </c>
      <c r="AC132" s="10">
        <f>IFERROR(IF(AI132&lt;&gt;"",ROUND(INDEX('N04-S03'!$BB$18:$BB$199,2*(ROWS(AC$118:AC132)-1)+1),3),""),"")</f>
        <v>0</v>
      </c>
      <c r="AD132" s="10">
        <f>IFERROR(IF(AI132&lt;&gt;"",ROUND(INDEX('N04-S03'!$BC$18:$BC$199,2*(ROWS(AD$118:AD132)-1)+1),3),""),"")</f>
        <v>0</v>
      </c>
      <c r="AE132" s="207"/>
      <c r="AF132" s="25">
        <f>IFERROR(IF(AI132&lt;&gt;"",INDEX('N04-S03'!$AK$18:$AK$199,2*(ROWS(AF$118:AF132)-1)+1),""),"")</f>
        <v>0</v>
      </c>
      <c r="AG132" s="31">
        <f>IFERROR(IF(AI132&lt;&gt;"",INDEX('N04-S03'!$BI$18:$BI$199,2*(ROWS(AG$118:AG132)-1)+1),""),"")</f>
        <v>0</v>
      </c>
      <c r="AH132" s="31">
        <f>IFERROR(IF(AI132&lt;&gt;"",INDEX('N04-S03'!$BH$18:$BH$199,2*(ROWS(AH$118:AH132)-1)+1),""),"")</f>
        <v>0</v>
      </c>
      <c r="AI132">
        <f>IFERROR(INDEX('N04-S03'!$BQ$18:$BQ$199,2*(ROWS(AI$118:AI132)-1)+1),"")</f>
        <v>0</v>
      </c>
      <c r="AJ132" s="25">
        <f>IFERROR(INDEX('N04-S03'!$BD$18:$BD$199,2*(ROWS(AJ$118:AJ132)-1)+1),"")</f>
        <v>0</v>
      </c>
      <c r="AK132" s="25">
        <f>IFERROR(INDEX('N04-S03'!$BE$18:$BE$199,2*(ROWS(AK$118:AK132)-1)+1),"")</f>
        <v>0</v>
      </c>
      <c r="AL132" s="207"/>
      <c r="AM132" s="207"/>
      <c r="AN132" s="207"/>
      <c r="AO132">
        <f>IFERROR(INDEX('N04-S03'!$B$18:$B$199,2*(ROWS(AO$118:AO132)-1)+1),"")</f>
        <v>0</v>
      </c>
      <c r="AP132" s="189"/>
      <c r="AQ132">
        <f>IFERROR(INDEX('N04-S03'!$C$18:$C$199,2*(ROWS(AQ$118:AQ132)-1)+1),"")</f>
        <v>0</v>
      </c>
      <c r="AR132">
        <f>IFERROR(INDEX('N04-S03'!$L$18:$L$199,2*(ROWS(AR$118:AR132)-1)+1),"")</f>
        <v>0</v>
      </c>
      <c r="AS132">
        <f>IFERROR(INDEX('N04-S03'!$T$18:$T$199,2*(ROWS(AS$118:AS132)-1)+1),"")</f>
        <v>0</v>
      </c>
      <c r="AT132" s="13">
        <f>IFERROR(INDEX('N04-S03'!$AY$18:$AY$199,2*(ROWS(AT$118:AT132)-1)+1),"")</f>
        <v>0</v>
      </c>
      <c r="AU132" s="13">
        <f>IFERROR(INDEX('N04-S03'!$AZ$18:$AZ$199,2*(ROWS(AU$118:AU132)-1)+1),"")</f>
        <v>0</v>
      </c>
      <c r="AV132">
        <f>IFERROR(INDEX('N04-S03'!$BA$18:$BA$199,2*(ROWS(AV$118:AV132)-1)+1),"")</f>
        <v>0</v>
      </c>
      <c r="AW132">
        <f>IFERROR(INDEX('N04-S03'!$BF$18:$BF$199,2*(ROWS(AW$118:AW132)-1)+1),"")</f>
        <v>0</v>
      </c>
      <c r="AX132" t="s">
        <v>820</v>
      </c>
      <c r="AY132" s="170"/>
      <c r="AZ132" s="170"/>
      <c r="BA132" s="170"/>
      <c r="BB132" s="170"/>
      <c r="BC132" s="170"/>
      <c r="BD132" s="170"/>
      <c r="BE132" s="170"/>
      <c r="BF132" s="170"/>
      <c r="BG132" s="170"/>
      <c r="BH132" s="170"/>
      <c r="BI132" s="170"/>
      <c r="BJ132" s="170"/>
      <c r="BK132" s="170"/>
    </row>
    <row r="133" spans="1:63">
      <c r="A133" s="223" t="str">
        <f>"Custom "&amp;N4S4</f>
        <v>Custom Refrigeration</v>
      </c>
      <c r="B133" s="30"/>
      <c r="C133" s="30"/>
      <c r="D133" s="30"/>
      <c r="E133" s="30"/>
      <c r="F133" s="30"/>
      <c r="G133" s="30"/>
      <c r="H133" s="208"/>
      <c r="I133" s="30"/>
      <c r="J133" s="203"/>
      <c r="K133" s="203"/>
      <c r="L133" s="203"/>
      <c r="M133" s="30"/>
      <c r="N133" s="30"/>
      <c r="O133" s="30"/>
      <c r="P133" s="211"/>
      <c r="Q133" s="211"/>
      <c r="R133" s="208"/>
      <c r="S133" s="208"/>
      <c r="T133" s="214"/>
      <c r="U133" s="214"/>
      <c r="V133" s="203"/>
      <c r="W133" s="203"/>
      <c r="X133" s="203"/>
      <c r="Y133" s="203"/>
      <c r="Z133" s="30"/>
      <c r="AA133" s="30"/>
      <c r="AB133" s="30"/>
      <c r="AC133" s="211"/>
      <c r="AD133" s="211"/>
      <c r="AE133" s="208"/>
      <c r="AF133" s="208"/>
      <c r="AG133" s="214"/>
      <c r="AH133" s="214"/>
      <c r="AI133" s="30"/>
      <c r="AJ133" s="208"/>
      <c r="AK133" s="208"/>
      <c r="AL133" s="208"/>
      <c r="AM133" s="208"/>
      <c r="AN133" s="208"/>
      <c r="AO133" s="30"/>
      <c r="AP133" s="30"/>
      <c r="AQ133" s="100"/>
      <c r="AR133" s="30"/>
      <c r="AS133" s="30"/>
      <c r="AT133" s="203"/>
      <c r="AU133" s="203"/>
      <c r="AV133" s="30"/>
      <c r="AW133" s="30"/>
      <c r="AX133" s="30"/>
      <c r="AY133" s="170"/>
      <c r="AZ133" s="170"/>
      <c r="BA133" s="170"/>
      <c r="BB133" s="170"/>
      <c r="BC133" s="170"/>
      <c r="BD133" s="170"/>
      <c r="BE133" s="170"/>
      <c r="BF133" s="170"/>
      <c r="BG133" s="170"/>
      <c r="BH133" s="170"/>
      <c r="BI133" s="170"/>
      <c r="BJ133" s="170"/>
      <c r="BK133" s="170"/>
    </row>
    <row r="134" spans="1:63">
      <c r="A134" s="14">
        <f t="shared" ref="A134:A148" si="18">PROJID_N</f>
        <v>0</v>
      </c>
      <c r="B134" t="str">
        <f>IF(C134="","",CONCATENATE(ROW(),"-",C134))</f>
        <v/>
      </c>
      <c r="C134" t="str">
        <f>IFERROR(IF(INDEX('N04-S04'!$BO$18:$BO$199,2*(ROWS($C$134:C134)-1)+1)="","",INDEX('N04-S04'!$BO$18:$BO$199,2*(ROWS($C$134:C134)-1)+1)),"")</f>
        <v/>
      </c>
      <c r="D134" t="s">
        <v>50</v>
      </c>
      <c r="E134" t="s">
        <v>38</v>
      </c>
      <c r="F134" t="s">
        <v>50</v>
      </c>
      <c r="G134" t="str">
        <f>IFERROR(INDEX('N04-S04'!$BG$18:$BG$199,2*(ROWS(G$134:G134)-1)+1),"")</f>
        <v/>
      </c>
      <c r="H134" s="207"/>
      <c r="I134" s="189"/>
      <c r="J134" s="189"/>
      <c r="K134" s="189"/>
      <c r="L134" s="13" t="str">
        <f ca="1">IFERROR(ROUND(IF($AI134&lt;&gt;"","",INDEX('N04-S04'!$AE$18:$AE$199,2*(ROWS(L$134:L134)-1)+1)),2),"")</f>
        <v/>
      </c>
      <c r="N134" s="13" t="str">
        <f ca="1">IFERROR(ROUND(IF($AI134&lt;&gt;"","",INDEX('N04-S04'!$AH$18:$AH$199,2*(ROWS(N$134:N134)-1)+1)),2),"")</f>
        <v/>
      </c>
      <c r="O134" s="13" t="str">
        <f ca="1">IFERROR(ROUND(IF($AI134&lt;&gt;"","",INDEX('N04-S04'!$AB$18:$AB$199,2*(ROWS(O$134:O134)-1)+1)),2),"")</f>
        <v/>
      </c>
      <c r="P134" s="10" t="str">
        <f ca="1">IFERROR(IF(AI134&lt;&gt;"","",ROUND(INDEX('N04-S04'!$BB$18:$BB$199,2*(ROWS(P$134:P134)-1)+1),3)),"")</f>
        <v/>
      </c>
      <c r="Q134" s="10" t="str">
        <f ca="1">IFERROR(IF(AI134&lt;&gt;"","",ROUND(INDEX('N04-S04'!$BC$18:$BC$199,2*(ROWS(Q$134:Q134)-1)+1),3)),"")</f>
        <v/>
      </c>
      <c r="R134" s="207"/>
      <c r="S134" s="25" t="str">
        <f ca="1">IFERROR(IF(AI134&lt;&gt;"","",INDEX('N04-S04'!$AK$18:$AK$199,2*(ROWS(S$134:S134)-1)+1)),"")</f>
        <v/>
      </c>
      <c r="T134" s="31" t="str">
        <f ca="1">IFERROR(IF(AI134&lt;&gt;"","",INDEX('N04-S04'!$BI$18:$BI$199,2*(ROWS(T$134:T134)-1)+1)),"")</f>
        <v/>
      </c>
      <c r="U134" s="31" t="str">
        <f ca="1">IFERROR(IF(AI134&lt;&gt;"","",INDEX('N04-S04'!$BH$18:$BH$199,2*(ROWS(U$134:U134)-1)+1)),"")</f>
        <v/>
      </c>
      <c r="V134" s="13" t="str">
        <f ca="1">IFERROR(IF(AI134&lt;&gt;"","",INDEX('N04-S04'!$AN$18:$AN$199,2*(ROWS(V$134:V134)-1)+1)),"")</f>
        <v/>
      </c>
      <c r="W134" s="207"/>
      <c r="X134" s="207"/>
      <c r="Y134" s="13">
        <f ca="1">IFERROR(IF(AI134&lt;&gt;"",INDEX('N04-S04'!$AE$18:$AE$199,2*(ROWS(Y$134:Y134)-1)+1),""),"")</f>
        <v>0</v>
      </c>
      <c r="AA134" s="13" t="str">
        <f ca="1">IFERROR(IF($AI134&lt;&gt;"",INDEX('N04-S04'!$AH$18:$AH$199,2*(ROWS(AA$134:AA134)-1)+1),""),"")</f>
        <v/>
      </c>
      <c r="AB134" s="13">
        <f ca="1">IFERROR(IF($AI134&lt;&gt;"",INDEX('N04-S04'!$AB$18:$AB$199,2*(ROWS(AB$134:AB134)-1)+1),""),"")</f>
        <v>0</v>
      </c>
      <c r="AC134" s="10" t="str">
        <f ca="1">IFERROR(IF(AI134&lt;&gt;"",ROUND(INDEX('N04-S04'!$BB$18:$BB$199,2*(ROWS(AC$134:AC134)-1)+1),3),""),"")</f>
        <v/>
      </c>
      <c r="AD134" s="10" t="str">
        <f ca="1">IFERROR(IF(AI134&lt;&gt;"",ROUND(INDEX('N04-S04'!$BC$18:$BC$199,2*(ROWS(AD$134:AD134)-1)+1),3),""),"")</f>
        <v/>
      </c>
      <c r="AE134" s="207"/>
      <c r="AF134" s="25" t="str">
        <f ca="1">IFERROR(IF(AI134&lt;&gt;"",INDEX('N04-S04'!$AK$18:$AK$199,2*(ROWS(AF$134:AF134)-1)+1),""),"")</f>
        <v/>
      </c>
      <c r="AG134" s="31">
        <f ca="1">IFERROR(IF(AI134&lt;&gt;"",INDEX('N04-S04'!$BI$18:$BI$199,2*(ROWS(AG$134:AG134)-1)+1),""),"")</f>
        <v>0</v>
      </c>
      <c r="AH134" s="31" t="str">
        <f ca="1">IFERROR(IF(AI134&lt;&gt;"",INDEX('N04-S04'!$BH$18:$BH$199,2*(ROWS(AH$134:AH134)-1)+1),""),"")</f>
        <v/>
      </c>
      <c r="AI134" t="str">
        <f ca="1">IFERROR(INDEX('N04-S04'!$BQ$18:$BQ$199,2*(ROWS(AI$134:AI134)-1)+1),"")</f>
        <v>Submit for Review</v>
      </c>
      <c r="AJ134" s="25" t="str">
        <f>IFERROR(INDEX('N04-S04'!$BD$18:$BD$199,2*(ROWS(AJ$134:AJ134)-1)+1),"")</f>
        <v/>
      </c>
      <c r="AK134" s="25" t="str">
        <f>IFERROR(INDEX('N04-S04'!$BE$18:$BE$199,2*(ROWS(AK$134:AK134)-1)+1),"")</f>
        <v/>
      </c>
      <c r="AL134" s="207"/>
      <c r="AM134" s="207"/>
      <c r="AN134" s="207"/>
      <c r="AO134">
        <f>IFERROR(INDEX('N04-S04'!$B$18:$B$199,2*(ROWS(AO$134:AO134)-1)+1),"")</f>
        <v>1</v>
      </c>
      <c r="AP134" s="189"/>
      <c r="AQ134">
        <f>IFERROR(INDEX('N04-S04'!$C$18:$C$199,2*(ROWS(AQ$134:AQ134)-1)+1),"")</f>
        <v>0</v>
      </c>
      <c r="AR134">
        <f>IFERROR(INDEX('N04-S04'!$L$18:$L$199,2*(ROWS(AR$134:AR134)-1)+1),"")</f>
        <v>0</v>
      </c>
      <c r="AS134">
        <f>IFERROR(INDEX('N04-S04'!$T$18:$T$199,2*(ROWS(AS$134:AS134)-1)+1),"")</f>
        <v>0</v>
      </c>
      <c r="AT134" s="13" t="str">
        <f>IFERROR(INDEX('N04-S04'!$AY$18:$AY$199,2*(ROWS(AT$134:AT134)-1)+1),"")</f>
        <v/>
      </c>
      <c r="AU134" s="13" t="str">
        <f>IFERROR(INDEX('N04-S04'!$AZ$18:$AZ$199,2*(ROWS(AU$134:AU134)-1)+1),"")</f>
        <v/>
      </c>
      <c r="AV134" t="str">
        <f>IFERROR(INDEX('N04-S04'!$BA$18:$BA$199,2*(ROWS(AV$134:AV134)-1)+1),"")</f>
        <v/>
      </c>
      <c r="AW134" t="str">
        <f>IFERROR(INDEX('N04-S04'!$BF$18:$BF$199,2*(ROWS(AW$134:AW134)-1)+1),"")</f>
        <v/>
      </c>
      <c r="AX134" t="s">
        <v>820</v>
      </c>
      <c r="AY134" s="170"/>
      <c r="AZ134" s="170"/>
      <c r="BA134" s="170"/>
      <c r="BB134" s="170"/>
      <c r="BC134" s="170"/>
      <c r="BD134" s="170"/>
      <c r="BE134" s="170"/>
      <c r="BF134" s="170"/>
      <c r="BG134" s="170"/>
      <c r="BH134" s="170"/>
      <c r="BI134" s="170"/>
      <c r="BJ134" s="170"/>
      <c r="BK134" s="170"/>
    </row>
    <row r="135" spans="1:63">
      <c r="A135" s="14">
        <f t="shared" si="18"/>
        <v>0</v>
      </c>
      <c r="B135" t="str">
        <f t="shared" ref="B135:B148" si="19">IF(C135="","",CONCATENATE(ROW(),"-",C135))</f>
        <v/>
      </c>
      <c r="C135" t="str">
        <f>IFERROR(IF(INDEX('N04-S04'!$BO$18:$BO$199,2*(ROWS($C$134:C135)-1)+1)="","",INDEX('N04-S04'!$BO$18:$BO$199,2*(ROWS($C$134:C135)-1)+1)),"")</f>
        <v/>
      </c>
      <c r="D135" t="s">
        <v>50</v>
      </c>
      <c r="E135" t="s">
        <v>38</v>
      </c>
      <c r="F135" t="s">
        <v>50</v>
      </c>
      <c r="G135" t="str">
        <f>IFERROR(INDEX('N04-S04'!$BG$18:$BG$199,2*(ROWS(G$134:G135)-1)+1),"")</f>
        <v/>
      </c>
      <c r="H135" s="207"/>
      <c r="I135" s="189"/>
      <c r="J135" s="189"/>
      <c r="K135" s="189"/>
      <c r="L135" s="13" t="str">
        <f ca="1">IFERROR(ROUND(IF($AI135&lt;&gt;"","",INDEX('N04-S04'!$AE$18:$AE$199,2*(ROWS(L$134:L135)-1)+1)),2),"")</f>
        <v/>
      </c>
      <c r="N135" s="13" t="str">
        <f ca="1">IFERROR(ROUND(IF($AI135&lt;&gt;"","",INDEX('N04-S04'!$AH$18:$AH$199,2*(ROWS(N$134:N135)-1)+1)),2),"")</f>
        <v/>
      </c>
      <c r="O135" s="13" t="str">
        <f ca="1">IFERROR(ROUND(IF($AI135&lt;&gt;"","",INDEX('N04-S04'!$AB$18:$AB$199,2*(ROWS(O$134:O135)-1)+1)),2),"")</f>
        <v/>
      </c>
      <c r="P135" s="10" t="str">
        <f ca="1">IFERROR(IF(AI135&lt;&gt;"","",ROUND(INDEX('N04-S04'!$BB$18:$BB$199,2*(ROWS(P$134:P135)-1)+1),3)),"")</f>
        <v/>
      </c>
      <c r="Q135" s="10" t="str">
        <f ca="1">IFERROR(IF(AI135&lt;&gt;"","",ROUND(INDEX('N04-S04'!$BC$18:$BC$199,2*(ROWS(Q$134:Q135)-1)+1),3)),"")</f>
        <v/>
      </c>
      <c r="R135" s="207"/>
      <c r="S135" s="25" t="str">
        <f ca="1">IFERROR(IF(AI135&lt;&gt;"","",INDEX('N04-S04'!$AK$18:$AK$199,2*(ROWS(S$134:S135)-1)+1)),"")</f>
        <v/>
      </c>
      <c r="T135" s="31" t="str">
        <f ca="1">IFERROR(IF(AI135&lt;&gt;"","",INDEX('N04-S04'!$BI$18:$BI$199,2*(ROWS(T$134:T135)-1)+1)),"")</f>
        <v/>
      </c>
      <c r="U135" s="31" t="str">
        <f ca="1">IFERROR(IF(AI135&lt;&gt;"","",INDEX('N04-S04'!$BH$18:$BH$199,2*(ROWS(U$134:U135)-1)+1)),"")</f>
        <v/>
      </c>
      <c r="V135" s="13" t="str">
        <f ca="1">IFERROR(IF(AI135&lt;&gt;"","",INDEX('N04-S04'!$AN$18:$AN$199,2*(ROWS(V$134:V135)-1)+1)),"")</f>
        <v/>
      </c>
      <c r="W135" s="207"/>
      <c r="X135" s="207"/>
      <c r="Y135" s="13">
        <f ca="1">IFERROR(IF(AI135&lt;&gt;"",INDEX('N04-S04'!$AE$18:$AE$199,2*(ROWS(Y$134:Y135)-1)+1),""),"")</f>
        <v>0</v>
      </c>
      <c r="AA135" s="13" t="str">
        <f ca="1">IFERROR(IF($AI135&lt;&gt;"",INDEX('N04-S04'!$AH$18:$AH$199,2*(ROWS(AA$134:AA135)-1)+1),""),"")</f>
        <v/>
      </c>
      <c r="AB135" s="13">
        <f ca="1">IFERROR(IF($AI135&lt;&gt;"",INDEX('N04-S04'!$AB$18:$AB$199,2*(ROWS(AB$134:AB135)-1)+1),""),"")</f>
        <v>0</v>
      </c>
      <c r="AC135" s="10" t="str">
        <f ca="1">IFERROR(IF(AI135&lt;&gt;"",ROUND(INDEX('N04-S04'!$BB$18:$BB$199,2*(ROWS(AC$134:AC135)-1)+1),3),""),"")</f>
        <v/>
      </c>
      <c r="AD135" s="10" t="str">
        <f ca="1">IFERROR(IF(AI135&lt;&gt;"",ROUND(INDEX('N04-S04'!$BC$18:$BC$199,2*(ROWS(AD$134:AD135)-1)+1),3),""),"")</f>
        <v/>
      </c>
      <c r="AE135" s="207"/>
      <c r="AF135" s="25" t="str">
        <f ca="1">IFERROR(IF(AI135&lt;&gt;"",INDEX('N04-S04'!$AK$18:$AK$199,2*(ROWS(AF$134:AF135)-1)+1),""),"")</f>
        <v/>
      </c>
      <c r="AG135" s="31">
        <f ca="1">IFERROR(IF(AI135&lt;&gt;"",INDEX('N04-S04'!$BI$18:$BI$199,2*(ROWS(AG$134:AG135)-1)+1),""),"")</f>
        <v>0</v>
      </c>
      <c r="AH135" s="31" t="str">
        <f ca="1">IFERROR(IF(AI135&lt;&gt;"",INDEX('N04-S04'!$BH$18:$BH$199,2*(ROWS(AH$134:AH135)-1)+1),""),"")</f>
        <v/>
      </c>
      <c r="AI135" t="str">
        <f ca="1">IFERROR(INDEX('N04-S04'!$BQ$18:$BQ$199,2*(ROWS(AI$134:AI135)-1)+1),"")</f>
        <v>Submit for Review</v>
      </c>
      <c r="AJ135" s="25" t="str">
        <f>IFERROR(INDEX('N04-S04'!$BD$18:$BD$199,2*(ROWS(AJ$134:AJ135)-1)+1),"")</f>
        <v/>
      </c>
      <c r="AK135" s="25" t="str">
        <f>IFERROR(INDEX('N04-S04'!$BE$18:$BE$199,2*(ROWS(AK$134:AK135)-1)+1),"")</f>
        <v/>
      </c>
      <c r="AL135" s="207"/>
      <c r="AM135" s="207"/>
      <c r="AN135" s="207"/>
      <c r="AO135">
        <f>IFERROR(INDEX('N04-S04'!$B$18:$B$199,2*(ROWS(AO$134:AO135)-1)+1),"")</f>
        <v>2</v>
      </c>
      <c r="AP135" s="189"/>
      <c r="AQ135">
        <f>IFERROR(INDEX('N04-S04'!$C$18:$C$199,2*(ROWS(AQ$134:AQ135)-1)+1),"")</f>
        <v>0</v>
      </c>
      <c r="AR135">
        <f>IFERROR(INDEX('N04-S04'!$L$18:$L$199,2*(ROWS(AR$134:AR135)-1)+1),"")</f>
        <v>0</v>
      </c>
      <c r="AS135">
        <f>IFERROR(INDEX('N04-S04'!$T$18:$T$199,2*(ROWS(AS$134:AS135)-1)+1),"")</f>
        <v>0</v>
      </c>
      <c r="AT135" s="13" t="str">
        <f>IFERROR(INDEX('N04-S04'!$AY$18:$AY$199,2*(ROWS(AT$134:AT135)-1)+1),"")</f>
        <v/>
      </c>
      <c r="AU135" s="13" t="str">
        <f>IFERROR(INDEX('N04-S04'!$AZ$18:$AZ$199,2*(ROWS(AU$134:AU135)-1)+1),"")</f>
        <v/>
      </c>
      <c r="AV135" t="str">
        <f>IFERROR(INDEX('N04-S04'!$BA$18:$BA$199,2*(ROWS(AV$134:AV135)-1)+1),"")</f>
        <v/>
      </c>
      <c r="AW135" t="str">
        <f>IFERROR(INDEX('N04-S04'!$BF$18:$BF$199,2*(ROWS(AW$134:AW135)-1)+1),"")</f>
        <v/>
      </c>
      <c r="AX135" t="s">
        <v>820</v>
      </c>
      <c r="AY135" s="170"/>
      <c r="AZ135" s="170"/>
      <c r="BA135" s="170"/>
      <c r="BB135" s="170"/>
      <c r="BC135" s="170"/>
      <c r="BD135" s="170"/>
      <c r="BE135" s="170"/>
      <c r="BF135" s="170"/>
      <c r="BG135" s="170"/>
      <c r="BH135" s="170"/>
      <c r="BI135" s="170"/>
      <c r="BJ135" s="170"/>
      <c r="BK135" s="170"/>
    </row>
    <row r="136" spans="1:63">
      <c r="A136" s="14">
        <f t="shared" si="18"/>
        <v>0</v>
      </c>
      <c r="B136" t="str">
        <f t="shared" si="19"/>
        <v/>
      </c>
      <c r="C136" t="str">
        <f>IFERROR(IF(INDEX('N04-S04'!$BO$18:$BO$199,2*(ROWS($C$134:C136)-1)+1)="","",INDEX('N04-S04'!$BO$18:$BO$199,2*(ROWS($C$134:C136)-1)+1)),"")</f>
        <v/>
      </c>
      <c r="D136" t="s">
        <v>50</v>
      </c>
      <c r="E136" t="s">
        <v>38</v>
      </c>
      <c r="F136" t="s">
        <v>50</v>
      </c>
      <c r="G136" t="str">
        <f>IFERROR(INDEX('N04-S04'!$BG$18:$BG$199,2*(ROWS(G$134:G136)-1)+1),"")</f>
        <v/>
      </c>
      <c r="H136" s="207"/>
      <c r="I136" s="189"/>
      <c r="J136" s="189"/>
      <c r="K136" s="189"/>
      <c r="L136" s="13" t="str">
        <f ca="1">IFERROR(ROUND(IF($AI136&lt;&gt;"","",INDEX('N04-S04'!$AE$18:$AE$199,2*(ROWS(L$134:L136)-1)+1)),2),"")</f>
        <v/>
      </c>
      <c r="N136" s="13" t="str">
        <f ca="1">IFERROR(ROUND(IF($AI136&lt;&gt;"","",INDEX('N04-S04'!$AH$18:$AH$199,2*(ROWS(N$134:N136)-1)+1)),2),"")</f>
        <v/>
      </c>
      <c r="O136" s="13" t="str">
        <f ca="1">IFERROR(ROUND(IF($AI136&lt;&gt;"","",INDEX('N04-S04'!$AB$18:$AB$199,2*(ROWS(O$134:O136)-1)+1)),2),"")</f>
        <v/>
      </c>
      <c r="P136" s="10" t="str">
        <f ca="1">IFERROR(IF(AI136&lt;&gt;"","",ROUND(INDEX('N04-S04'!$BB$18:$BB$199,2*(ROWS(P$134:P136)-1)+1),3)),"")</f>
        <v/>
      </c>
      <c r="Q136" s="10" t="str">
        <f ca="1">IFERROR(IF(AI136&lt;&gt;"","",ROUND(INDEX('N04-S04'!$BC$18:$BC$199,2*(ROWS(Q$134:Q136)-1)+1),3)),"")</f>
        <v/>
      </c>
      <c r="R136" s="207"/>
      <c r="S136" s="25" t="str">
        <f ca="1">IFERROR(IF(AI136&lt;&gt;"","",INDEX('N04-S04'!$AK$18:$AK$199,2*(ROWS(S$134:S136)-1)+1)),"")</f>
        <v/>
      </c>
      <c r="T136" s="31" t="str">
        <f ca="1">IFERROR(IF(AI136&lt;&gt;"","",INDEX('N04-S04'!$BI$18:$BI$199,2*(ROWS(T$134:T136)-1)+1)),"")</f>
        <v/>
      </c>
      <c r="U136" s="31" t="str">
        <f ca="1">IFERROR(IF(AI136&lt;&gt;"","",INDEX('N04-S04'!$BH$18:$BH$199,2*(ROWS(U$134:U136)-1)+1)),"")</f>
        <v/>
      </c>
      <c r="V136" s="13" t="str">
        <f ca="1">IFERROR(IF(AI136&lt;&gt;"","",INDEX('N04-S04'!$AN$18:$AN$199,2*(ROWS(V$134:V136)-1)+1)),"")</f>
        <v/>
      </c>
      <c r="W136" s="207"/>
      <c r="X136" s="207"/>
      <c r="Y136" s="13">
        <f ca="1">IFERROR(IF(AI136&lt;&gt;"",INDEX('N04-S04'!$AE$18:$AE$199,2*(ROWS(Y$134:Y136)-1)+1),""),"")</f>
        <v>0</v>
      </c>
      <c r="AA136" s="13" t="str">
        <f ca="1">IFERROR(IF($AI136&lt;&gt;"",INDEX('N04-S04'!$AH$18:$AH$199,2*(ROWS(AA$134:AA136)-1)+1),""),"")</f>
        <v/>
      </c>
      <c r="AB136" s="13">
        <f ca="1">IFERROR(IF($AI136&lt;&gt;"",INDEX('N04-S04'!$AB$18:$AB$199,2*(ROWS(AB$134:AB136)-1)+1),""),"")</f>
        <v>0</v>
      </c>
      <c r="AC136" s="10" t="str">
        <f ca="1">IFERROR(IF(AI136&lt;&gt;"",ROUND(INDEX('N04-S04'!$BB$18:$BB$199,2*(ROWS(AC$134:AC136)-1)+1),3),""),"")</f>
        <v/>
      </c>
      <c r="AD136" s="10" t="str">
        <f ca="1">IFERROR(IF(AI136&lt;&gt;"",ROUND(INDEX('N04-S04'!$BC$18:$BC$199,2*(ROWS(AD$134:AD136)-1)+1),3),""),"")</f>
        <v/>
      </c>
      <c r="AE136" s="207"/>
      <c r="AF136" s="25" t="str">
        <f ca="1">IFERROR(IF(AI136&lt;&gt;"",INDEX('N04-S04'!$AK$18:$AK$199,2*(ROWS(AF$134:AF136)-1)+1),""),"")</f>
        <v/>
      </c>
      <c r="AG136" s="31">
        <f ca="1">IFERROR(IF(AI136&lt;&gt;"",INDEX('N04-S04'!$BI$18:$BI$199,2*(ROWS(AG$134:AG136)-1)+1),""),"")</f>
        <v>0</v>
      </c>
      <c r="AH136" s="31" t="str">
        <f ca="1">IFERROR(IF(AI136&lt;&gt;"",INDEX('N04-S04'!$BH$18:$BH$199,2*(ROWS(AH$134:AH136)-1)+1),""),"")</f>
        <v/>
      </c>
      <c r="AI136" t="str">
        <f ca="1">IFERROR(INDEX('N04-S04'!$BQ$18:$BQ$199,2*(ROWS(AI$134:AI136)-1)+1),"")</f>
        <v>Submit for Review</v>
      </c>
      <c r="AJ136" s="25" t="str">
        <f>IFERROR(INDEX('N04-S04'!$BD$18:$BD$199,2*(ROWS(AJ$134:AJ136)-1)+1),"")</f>
        <v/>
      </c>
      <c r="AK136" s="25" t="str">
        <f>IFERROR(INDEX('N04-S04'!$BE$18:$BE$199,2*(ROWS(AK$134:AK136)-1)+1),"")</f>
        <v/>
      </c>
      <c r="AL136" s="207"/>
      <c r="AM136" s="207"/>
      <c r="AN136" s="207"/>
      <c r="AO136">
        <f>IFERROR(INDEX('N04-S04'!$B$18:$B$199,2*(ROWS(AO$134:AO136)-1)+1),"")</f>
        <v>3</v>
      </c>
      <c r="AP136" s="189"/>
      <c r="AQ136">
        <f>IFERROR(INDEX('N04-S04'!$C$18:$C$199,2*(ROWS(AQ$134:AQ136)-1)+1),"")</f>
        <v>0</v>
      </c>
      <c r="AR136">
        <f>IFERROR(INDEX('N04-S04'!$L$18:$L$199,2*(ROWS(AR$134:AR136)-1)+1),"")</f>
        <v>0</v>
      </c>
      <c r="AS136">
        <f>IFERROR(INDEX('N04-S04'!$T$18:$T$199,2*(ROWS(AS$134:AS136)-1)+1),"")</f>
        <v>0</v>
      </c>
      <c r="AT136" s="13" t="str">
        <f>IFERROR(INDEX('N04-S04'!$AY$18:$AY$199,2*(ROWS(AT$134:AT136)-1)+1),"")</f>
        <v/>
      </c>
      <c r="AU136" s="13" t="str">
        <f>IFERROR(INDEX('N04-S04'!$AZ$18:$AZ$199,2*(ROWS(AU$134:AU136)-1)+1),"")</f>
        <v/>
      </c>
      <c r="AV136" t="str">
        <f>IFERROR(INDEX('N04-S04'!$BA$18:$BA$199,2*(ROWS(AV$134:AV136)-1)+1),"")</f>
        <v/>
      </c>
      <c r="AW136" t="str">
        <f>IFERROR(INDEX('N04-S04'!$BF$18:$BF$199,2*(ROWS(AW$134:AW136)-1)+1),"")</f>
        <v/>
      </c>
      <c r="AX136" t="s">
        <v>820</v>
      </c>
      <c r="AY136" s="170"/>
      <c r="AZ136" s="170"/>
      <c r="BA136" s="170"/>
      <c r="BB136" s="170"/>
      <c r="BC136" s="170"/>
      <c r="BD136" s="170"/>
      <c r="BE136" s="170"/>
      <c r="BF136" s="170"/>
      <c r="BG136" s="170"/>
      <c r="BH136" s="170"/>
      <c r="BI136" s="170"/>
      <c r="BJ136" s="170"/>
      <c r="BK136" s="170"/>
    </row>
    <row r="137" spans="1:63">
      <c r="A137" s="14">
        <f t="shared" si="18"/>
        <v>0</v>
      </c>
      <c r="B137" t="str">
        <f t="shared" si="19"/>
        <v/>
      </c>
      <c r="C137" t="str">
        <f>IFERROR(IF(INDEX('N04-S04'!$BO$18:$BO$199,2*(ROWS($C$134:C137)-1)+1)="","",INDEX('N04-S04'!$BO$18:$BO$199,2*(ROWS($C$134:C137)-1)+1)),"")</f>
        <v/>
      </c>
      <c r="D137" t="s">
        <v>50</v>
      </c>
      <c r="E137" t="s">
        <v>38</v>
      </c>
      <c r="F137" t="s">
        <v>50</v>
      </c>
      <c r="G137" t="str">
        <f>IFERROR(INDEX('N04-S04'!$BG$18:$BG$199,2*(ROWS(G$134:G137)-1)+1),"")</f>
        <v/>
      </c>
      <c r="H137" s="207"/>
      <c r="I137" s="189"/>
      <c r="J137" s="189"/>
      <c r="K137" s="189"/>
      <c r="L137" s="13" t="str">
        <f ca="1">IFERROR(ROUND(IF($AI137&lt;&gt;"","",INDEX('N04-S04'!$AE$18:$AE$199,2*(ROWS(L$134:L137)-1)+1)),2),"")</f>
        <v/>
      </c>
      <c r="N137" s="13" t="str">
        <f ca="1">IFERROR(ROUND(IF($AI137&lt;&gt;"","",INDEX('N04-S04'!$AH$18:$AH$199,2*(ROWS(N$134:N137)-1)+1)),2),"")</f>
        <v/>
      </c>
      <c r="O137" s="13" t="str">
        <f ca="1">IFERROR(ROUND(IF($AI137&lt;&gt;"","",INDEX('N04-S04'!$AB$18:$AB$199,2*(ROWS(O$134:O137)-1)+1)),2),"")</f>
        <v/>
      </c>
      <c r="P137" s="10" t="str">
        <f ca="1">IFERROR(IF(AI137&lt;&gt;"","",ROUND(INDEX('N04-S04'!$BB$18:$BB$199,2*(ROWS(P$134:P137)-1)+1),3)),"")</f>
        <v/>
      </c>
      <c r="Q137" s="10" t="str">
        <f ca="1">IFERROR(IF(AI137&lt;&gt;"","",ROUND(INDEX('N04-S04'!$BC$18:$BC$199,2*(ROWS(Q$134:Q137)-1)+1),3)),"")</f>
        <v/>
      </c>
      <c r="R137" s="207"/>
      <c r="S137" s="25" t="str">
        <f ca="1">IFERROR(IF(AI137&lt;&gt;"","",INDEX('N04-S04'!$AK$18:$AK$199,2*(ROWS(S$134:S137)-1)+1)),"")</f>
        <v/>
      </c>
      <c r="T137" s="31" t="str">
        <f ca="1">IFERROR(IF(AI137&lt;&gt;"","",INDEX('N04-S04'!$BI$18:$BI$199,2*(ROWS(T$134:T137)-1)+1)),"")</f>
        <v/>
      </c>
      <c r="U137" s="31" t="str">
        <f ca="1">IFERROR(IF(AI137&lt;&gt;"","",INDEX('N04-S04'!$BH$18:$BH$199,2*(ROWS(U$134:U137)-1)+1)),"")</f>
        <v/>
      </c>
      <c r="V137" s="13" t="str">
        <f ca="1">IFERROR(IF(AI137&lt;&gt;"","",INDEX('N04-S04'!$AN$18:$AN$199,2*(ROWS(V$134:V137)-1)+1)),"")</f>
        <v/>
      </c>
      <c r="W137" s="207"/>
      <c r="X137" s="207"/>
      <c r="Y137" s="13">
        <f ca="1">IFERROR(IF(AI137&lt;&gt;"",INDEX('N04-S04'!$AE$18:$AE$199,2*(ROWS(Y$134:Y137)-1)+1),""),"")</f>
        <v>0</v>
      </c>
      <c r="AA137" s="13" t="str">
        <f ca="1">IFERROR(IF($AI137&lt;&gt;"",INDEX('N04-S04'!$AH$18:$AH$199,2*(ROWS(AA$134:AA137)-1)+1),""),"")</f>
        <v/>
      </c>
      <c r="AB137" s="13">
        <f ca="1">IFERROR(IF($AI137&lt;&gt;"",INDEX('N04-S04'!$AB$18:$AB$199,2*(ROWS(AB$134:AB137)-1)+1),""),"")</f>
        <v>0</v>
      </c>
      <c r="AC137" s="10" t="str">
        <f ca="1">IFERROR(IF(AI137&lt;&gt;"",ROUND(INDEX('N04-S04'!$BB$18:$BB$199,2*(ROWS(AC$134:AC137)-1)+1),3),""),"")</f>
        <v/>
      </c>
      <c r="AD137" s="10" t="str">
        <f ca="1">IFERROR(IF(AI137&lt;&gt;"",ROUND(INDEX('N04-S04'!$BC$18:$BC$199,2*(ROWS(AD$134:AD137)-1)+1),3),""),"")</f>
        <v/>
      </c>
      <c r="AE137" s="207"/>
      <c r="AF137" s="25" t="str">
        <f ca="1">IFERROR(IF(AI137&lt;&gt;"",INDEX('N04-S04'!$AK$18:$AK$199,2*(ROWS(AF$134:AF137)-1)+1),""),"")</f>
        <v/>
      </c>
      <c r="AG137" s="31">
        <f ca="1">IFERROR(IF(AI137&lt;&gt;"",INDEX('N04-S04'!$BI$18:$BI$199,2*(ROWS(AG$134:AG137)-1)+1),""),"")</f>
        <v>0</v>
      </c>
      <c r="AH137" s="31" t="str">
        <f ca="1">IFERROR(IF(AI137&lt;&gt;"",INDEX('N04-S04'!$BH$18:$BH$199,2*(ROWS(AH$134:AH137)-1)+1),""),"")</f>
        <v/>
      </c>
      <c r="AI137" t="str">
        <f ca="1">IFERROR(INDEX('N04-S04'!$BQ$18:$BQ$199,2*(ROWS(AI$134:AI137)-1)+1),"")</f>
        <v>Submit for Review</v>
      </c>
      <c r="AJ137" s="25" t="str">
        <f>IFERROR(INDEX('N04-S04'!$BD$18:$BD$199,2*(ROWS(AJ$134:AJ137)-1)+1),"")</f>
        <v/>
      </c>
      <c r="AK137" s="25" t="str">
        <f>IFERROR(INDEX('N04-S04'!$BE$18:$BE$199,2*(ROWS(AK$134:AK137)-1)+1),"")</f>
        <v/>
      </c>
      <c r="AL137" s="207"/>
      <c r="AM137" s="207"/>
      <c r="AN137" s="207"/>
      <c r="AO137">
        <f>IFERROR(INDEX('N04-S04'!$B$18:$B$199,2*(ROWS(AO$134:AO137)-1)+1),"")</f>
        <v>4</v>
      </c>
      <c r="AP137" s="189"/>
      <c r="AQ137">
        <f>IFERROR(INDEX('N04-S04'!$C$18:$C$199,2*(ROWS(AQ$134:AQ137)-1)+1),"")</f>
        <v>0</v>
      </c>
      <c r="AR137">
        <f>IFERROR(INDEX('N04-S04'!$L$18:$L$199,2*(ROWS(AR$134:AR137)-1)+1),"")</f>
        <v>0</v>
      </c>
      <c r="AS137">
        <f>IFERROR(INDEX('N04-S04'!$T$18:$T$199,2*(ROWS(AS$134:AS137)-1)+1),"")</f>
        <v>0</v>
      </c>
      <c r="AT137" s="13" t="str">
        <f>IFERROR(INDEX('N04-S04'!$AY$18:$AY$199,2*(ROWS(AT$134:AT137)-1)+1),"")</f>
        <v/>
      </c>
      <c r="AU137" s="13" t="str">
        <f>IFERROR(INDEX('N04-S04'!$AZ$18:$AZ$199,2*(ROWS(AU$134:AU137)-1)+1),"")</f>
        <v/>
      </c>
      <c r="AV137" t="str">
        <f>IFERROR(INDEX('N04-S04'!$BA$18:$BA$199,2*(ROWS(AV$134:AV137)-1)+1),"")</f>
        <v/>
      </c>
      <c r="AW137" t="str">
        <f>IFERROR(INDEX('N04-S04'!$BF$18:$BF$199,2*(ROWS(AW$134:AW137)-1)+1),"")</f>
        <v/>
      </c>
      <c r="AX137" t="s">
        <v>820</v>
      </c>
      <c r="AY137" s="170"/>
      <c r="AZ137" s="170"/>
      <c r="BA137" s="170"/>
      <c r="BB137" s="170"/>
      <c r="BC137" s="170"/>
      <c r="BD137" s="170"/>
      <c r="BE137" s="170"/>
      <c r="BF137" s="170"/>
      <c r="BG137" s="170"/>
      <c r="BH137" s="170"/>
      <c r="BI137" s="170"/>
      <c r="BJ137" s="170"/>
      <c r="BK137" s="170"/>
    </row>
    <row r="138" spans="1:63">
      <c r="A138" s="14">
        <f t="shared" si="18"/>
        <v>0</v>
      </c>
      <c r="B138" t="str">
        <f t="shared" si="19"/>
        <v/>
      </c>
      <c r="C138" t="str">
        <f>IFERROR(IF(INDEX('N04-S04'!$BO$18:$BO$199,2*(ROWS($C$134:C138)-1)+1)="","",INDEX('N04-S04'!$BO$18:$BO$199,2*(ROWS($C$134:C138)-1)+1)),"")</f>
        <v/>
      </c>
      <c r="D138" t="s">
        <v>50</v>
      </c>
      <c r="E138" t="s">
        <v>38</v>
      </c>
      <c r="F138" t="s">
        <v>50</v>
      </c>
      <c r="G138" t="str">
        <f>IFERROR(INDEX('N04-S04'!$BG$18:$BG$199,2*(ROWS(G$134:G138)-1)+1),"")</f>
        <v/>
      </c>
      <c r="H138" s="207"/>
      <c r="I138" s="189"/>
      <c r="J138" s="189"/>
      <c r="K138" s="189"/>
      <c r="L138" s="13" t="str">
        <f ca="1">IFERROR(ROUND(IF($AI138&lt;&gt;"","",INDEX('N04-S04'!$AE$18:$AE$199,2*(ROWS(L$134:L138)-1)+1)),2),"")</f>
        <v/>
      </c>
      <c r="N138" s="13" t="str">
        <f ca="1">IFERROR(ROUND(IF($AI138&lt;&gt;"","",INDEX('N04-S04'!$AH$18:$AH$199,2*(ROWS(N$134:N138)-1)+1)),2),"")</f>
        <v/>
      </c>
      <c r="O138" s="13" t="str">
        <f ca="1">IFERROR(ROUND(IF($AI138&lt;&gt;"","",INDEX('N04-S04'!$AB$18:$AB$199,2*(ROWS(O$134:O138)-1)+1)),2),"")</f>
        <v/>
      </c>
      <c r="P138" s="10" t="str">
        <f ca="1">IFERROR(IF(AI138&lt;&gt;"","",ROUND(INDEX('N04-S04'!$BB$18:$BB$199,2*(ROWS(P$134:P138)-1)+1),3)),"")</f>
        <v/>
      </c>
      <c r="Q138" s="10" t="str">
        <f ca="1">IFERROR(IF(AI138&lt;&gt;"","",ROUND(INDEX('N04-S04'!$BC$18:$BC$199,2*(ROWS(Q$134:Q138)-1)+1),3)),"")</f>
        <v/>
      </c>
      <c r="R138" s="207"/>
      <c r="S138" s="25" t="str">
        <f ca="1">IFERROR(IF(AI138&lt;&gt;"","",INDEX('N04-S04'!$AK$18:$AK$199,2*(ROWS(S$134:S138)-1)+1)),"")</f>
        <v/>
      </c>
      <c r="T138" s="31" t="str">
        <f ca="1">IFERROR(IF(AI138&lt;&gt;"","",INDEX('N04-S04'!$BI$18:$BI$199,2*(ROWS(T$134:T138)-1)+1)),"")</f>
        <v/>
      </c>
      <c r="U138" s="31" t="str">
        <f ca="1">IFERROR(IF(AI138&lt;&gt;"","",INDEX('N04-S04'!$BH$18:$BH$199,2*(ROWS(U$134:U138)-1)+1)),"")</f>
        <v/>
      </c>
      <c r="V138" s="13" t="str">
        <f ca="1">IFERROR(IF(AI138&lt;&gt;"","",INDEX('N04-S04'!$AN$18:$AN$199,2*(ROWS(V$134:V138)-1)+1)),"")</f>
        <v/>
      </c>
      <c r="W138" s="207"/>
      <c r="X138" s="207"/>
      <c r="Y138" s="13">
        <f ca="1">IFERROR(IF(AI138&lt;&gt;"",INDEX('N04-S04'!$AE$18:$AE$199,2*(ROWS(Y$134:Y138)-1)+1),""),"")</f>
        <v>0</v>
      </c>
      <c r="AA138" s="13" t="str">
        <f ca="1">IFERROR(IF($AI138&lt;&gt;"",INDEX('N04-S04'!$AH$18:$AH$199,2*(ROWS(AA$134:AA138)-1)+1),""),"")</f>
        <v/>
      </c>
      <c r="AB138" s="13">
        <f ca="1">IFERROR(IF($AI138&lt;&gt;"",INDEX('N04-S04'!$AB$18:$AB$199,2*(ROWS(AB$134:AB138)-1)+1),""),"")</f>
        <v>0</v>
      </c>
      <c r="AC138" s="10" t="str">
        <f ca="1">IFERROR(IF(AI138&lt;&gt;"",ROUND(INDEX('N04-S04'!$BB$18:$BB$199,2*(ROWS(AC$134:AC138)-1)+1),3),""),"")</f>
        <v/>
      </c>
      <c r="AD138" s="10" t="str">
        <f ca="1">IFERROR(IF(AI138&lt;&gt;"",ROUND(INDEX('N04-S04'!$BC$18:$BC$199,2*(ROWS(AD$134:AD138)-1)+1),3),""),"")</f>
        <v/>
      </c>
      <c r="AE138" s="207"/>
      <c r="AF138" s="25" t="str">
        <f ca="1">IFERROR(IF(AI138&lt;&gt;"",INDEX('N04-S04'!$AK$18:$AK$199,2*(ROWS(AF$134:AF138)-1)+1),""),"")</f>
        <v/>
      </c>
      <c r="AG138" s="31">
        <f ca="1">IFERROR(IF(AI138&lt;&gt;"",INDEX('N04-S04'!$BI$18:$BI$199,2*(ROWS(AG$134:AG138)-1)+1),""),"")</f>
        <v>0</v>
      </c>
      <c r="AH138" s="31" t="str">
        <f ca="1">IFERROR(IF(AI138&lt;&gt;"",INDEX('N04-S04'!$BH$18:$BH$199,2*(ROWS(AH$134:AH138)-1)+1),""),"")</f>
        <v/>
      </c>
      <c r="AI138" t="str">
        <f ca="1">IFERROR(INDEX('N04-S04'!$BQ$18:$BQ$199,2*(ROWS(AI$134:AI138)-1)+1),"")</f>
        <v>Submit for Review</v>
      </c>
      <c r="AJ138" s="25" t="str">
        <f>IFERROR(INDEX('N04-S04'!$BD$18:$BD$199,2*(ROWS(AJ$134:AJ138)-1)+1),"")</f>
        <v/>
      </c>
      <c r="AK138" s="25" t="str">
        <f>IFERROR(INDEX('N04-S04'!$BE$18:$BE$199,2*(ROWS(AK$134:AK138)-1)+1),"")</f>
        <v/>
      </c>
      <c r="AL138" s="207"/>
      <c r="AM138" s="207"/>
      <c r="AN138" s="207"/>
      <c r="AO138">
        <f>IFERROR(INDEX('N04-S04'!$B$18:$B$199,2*(ROWS(AO$134:AO138)-1)+1),"")</f>
        <v>5</v>
      </c>
      <c r="AP138" s="189"/>
      <c r="AQ138">
        <f>IFERROR(INDEX('N04-S04'!$C$18:$C$199,2*(ROWS(AQ$134:AQ138)-1)+1),"")</f>
        <v>0</v>
      </c>
      <c r="AR138">
        <f>IFERROR(INDEX('N04-S04'!$L$18:$L$199,2*(ROWS(AR$134:AR138)-1)+1),"")</f>
        <v>0</v>
      </c>
      <c r="AS138">
        <f>IFERROR(INDEX('N04-S04'!$T$18:$T$199,2*(ROWS(AS$134:AS138)-1)+1),"")</f>
        <v>0</v>
      </c>
      <c r="AT138" s="13" t="str">
        <f>IFERROR(INDEX('N04-S04'!$AY$18:$AY$199,2*(ROWS(AT$134:AT138)-1)+1),"")</f>
        <v/>
      </c>
      <c r="AU138" s="13" t="str">
        <f>IFERROR(INDEX('N04-S04'!$AZ$18:$AZ$199,2*(ROWS(AU$134:AU138)-1)+1),"")</f>
        <v/>
      </c>
      <c r="AV138" t="str">
        <f>IFERROR(INDEX('N04-S04'!$BA$18:$BA$199,2*(ROWS(AV$134:AV138)-1)+1),"")</f>
        <v/>
      </c>
      <c r="AW138" t="str">
        <f>IFERROR(INDEX('N04-S04'!$BF$18:$BF$199,2*(ROWS(AW$134:AW138)-1)+1),"")</f>
        <v/>
      </c>
      <c r="AX138" t="s">
        <v>820</v>
      </c>
      <c r="AY138" s="170"/>
      <c r="AZ138" s="170"/>
      <c r="BA138" s="170"/>
      <c r="BB138" s="170"/>
      <c r="BC138" s="170"/>
      <c r="BD138" s="170"/>
      <c r="BE138" s="170"/>
      <c r="BF138" s="170"/>
      <c r="BG138" s="170"/>
      <c r="BH138" s="170"/>
      <c r="BI138" s="170"/>
      <c r="BJ138" s="170"/>
      <c r="BK138" s="170"/>
    </row>
    <row r="139" spans="1:63">
      <c r="A139" s="14">
        <f t="shared" si="18"/>
        <v>0</v>
      </c>
      <c r="B139" t="str">
        <f t="shared" si="19"/>
        <v/>
      </c>
      <c r="C139" t="str">
        <f>IFERROR(IF(INDEX('N04-S04'!$BO$18:$BO$199,2*(ROWS($C$134:C139)-1)+1)="","",INDEX('N04-S04'!$BO$18:$BO$199,2*(ROWS($C$134:C139)-1)+1)),"")</f>
        <v/>
      </c>
      <c r="D139" t="s">
        <v>50</v>
      </c>
      <c r="E139" t="s">
        <v>38</v>
      </c>
      <c r="F139" t="s">
        <v>50</v>
      </c>
      <c r="G139" t="str">
        <f>IFERROR(INDEX('N04-S04'!$BG$18:$BG$199,2*(ROWS(G$134:G139)-1)+1),"")</f>
        <v/>
      </c>
      <c r="H139" s="207"/>
      <c r="I139" s="189"/>
      <c r="J139" s="189"/>
      <c r="K139" s="189"/>
      <c r="L139" s="13" t="str">
        <f ca="1">IFERROR(ROUND(IF($AI139&lt;&gt;"","",INDEX('N04-S04'!$AE$18:$AE$199,2*(ROWS(L$134:L139)-1)+1)),2),"")</f>
        <v/>
      </c>
      <c r="N139" s="13" t="str">
        <f ca="1">IFERROR(ROUND(IF($AI139&lt;&gt;"","",INDEX('N04-S04'!$AH$18:$AH$199,2*(ROWS(N$134:N139)-1)+1)),2),"")</f>
        <v/>
      </c>
      <c r="O139" s="13" t="str">
        <f ca="1">IFERROR(ROUND(IF($AI139&lt;&gt;"","",INDEX('N04-S04'!$AB$18:$AB$199,2*(ROWS(O$134:O139)-1)+1)),2),"")</f>
        <v/>
      </c>
      <c r="P139" s="10" t="str">
        <f ca="1">IFERROR(IF(AI139&lt;&gt;"","",ROUND(INDEX('N04-S04'!$BB$18:$BB$199,2*(ROWS(P$134:P139)-1)+1),3)),"")</f>
        <v/>
      </c>
      <c r="Q139" s="10" t="str">
        <f ca="1">IFERROR(IF(AI139&lt;&gt;"","",ROUND(INDEX('N04-S04'!$BC$18:$BC$199,2*(ROWS(Q$134:Q139)-1)+1),3)),"")</f>
        <v/>
      </c>
      <c r="R139" s="207"/>
      <c r="S139" s="25" t="str">
        <f ca="1">IFERROR(IF(AI139&lt;&gt;"","",INDEX('N04-S04'!$AK$18:$AK$199,2*(ROWS(S$134:S139)-1)+1)),"")</f>
        <v/>
      </c>
      <c r="T139" s="31" t="str">
        <f ca="1">IFERROR(IF(AI139&lt;&gt;"","",INDEX('N04-S04'!$BI$18:$BI$199,2*(ROWS(T$134:T139)-1)+1)),"")</f>
        <v/>
      </c>
      <c r="U139" s="31" t="str">
        <f ca="1">IFERROR(IF(AI139&lt;&gt;"","",INDEX('N04-S04'!$BH$18:$BH$199,2*(ROWS(U$134:U139)-1)+1)),"")</f>
        <v/>
      </c>
      <c r="V139" s="13" t="str">
        <f ca="1">IFERROR(IF(AI139&lt;&gt;"","",INDEX('N04-S04'!$AN$18:$AN$199,2*(ROWS(V$134:V139)-1)+1)),"")</f>
        <v/>
      </c>
      <c r="W139" s="207"/>
      <c r="X139" s="207"/>
      <c r="Y139" s="13">
        <f ca="1">IFERROR(IF(AI139&lt;&gt;"",INDEX('N04-S04'!$AE$18:$AE$199,2*(ROWS(Y$134:Y139)-1)+1),""),"")</f>
        <v>0</v>
      </c>
      <c r="AA139" s="13" t="str">
        <f ca="1">IFERROR(IF($AI139&lt;&gt;"",INDEX('N04-S04'!$AH$18:$AH$199,2*(ROWS(AA$134:AA139)-1)+1),""),"")</f>
        <v/>
      </c>
      <c r="AB139" s="13">
        <f ca="1">IFERROR(IF($AI139&lt;&gt;"",INDEX('N04-S04'!$AB$18:$AB$199,2*(ROWS(AB$134:AB139)-1)+1),""),"")</f>
        <v>0</v>
      </c>
      <c r="AC139" s="10" t="str">
        <f ca="1">IFERROR(IF(AI139&lt;&gt;"",ROUND(INDEX('N04-S04'!$BB$18:$BB$199,2*(ROWS(AC$134:AC139)-1)+1),3),""),"")</f>
        <v/>
      </c>
      <c r="AD139" s="10" t="str">
        <f ca="1">IFERROR(IF(AI139&lt;&gt;"",ROUND(INDEX('N04-S04'!$BC$18:$BC$199,2*(ROWS(AD$134:AD139)-1)+1),3),""),"")</f>
        <v/>
      </c>
      <c r="AE139" s="207"/>
      <c r="AF139" s="25" t="str">
        <f ca="1">IFERROR(IF(AI139&lt;&gt;"",INDEX('N04-S04'!$AK$18:$AK$199,2*(ROWS(AF$134:AF139)-1)+1),""),"")</f>
        <v/>
      </c>
      <c r="AG139" s="31">
        <f ca="1">IFERROR(IF(AI139&lt;&gt;"",INDEX('N04-S04'!$BI$18:$BI$199,2*(ROWS(AG$134:AG139)-1)+1),""),"")</f>
        <v>0</v>
      </c>
      <c r="AH139" s="31" t="str">
        <f ca="1">IFERROR(IF(AI139&lt;&gt;"",INDEX('N04-S04'!$BH$18:$BH$199,2*(ROWS(AH$134:AH139)-1)+1),""),"")</f>
        <v/>
      </c>
      <c r="AI139" t="str">
        <f ca="1">IFERROR(INDEX('N04-S04'!$BQ$18:$BQ$199,2*(ROWS(AI$134:AI139)-1)+1),"")</f>
        <v>Submit for Review</v>
      </c>
      <c r="AJ139" s="25" t="str">
        <f>IFERROR(INDEX('N04-S04'!$BD$18:$BD$199,2*(ROWS(AJ$134:AJ139)-1)+1),"")</f>
        <v/>
      </c>
      <c r="AK139" s="25" t="str">
        <f>IFERROR(INDEX('N04-S04'!$BE$18:$BE$199,2*(ROWS(AK$134:AK139)-1)+1),"")</f>
        <v/>
      </c>
      <c r="AL139" s="207"/>
      <c r="AM139" s="207"/>
      <c r="AN139" s="207"/>
      <c r="AO139">
        <f>IFERROR(INDEX('N04-S04'!$B$18:$B$199,2*(ROWS(AO$134:AO139)-1)+1),"")</f>
        <v>6</v>
      </c>
      <c r="AP139" s="189"/>
      <c r="AQ139">
        <f>IFERROR(INDEX('N04-S04'!$C$18:$C$199,2*(ROWS(AQ$134:AQ139)-1)+1),"")</f>
        <v>0</v>
      </c>
      <c r="AR139">
        <f>IFERROR(INDEX('N04-S04'!$L$18:$L$199,2*(ROWS(AR$134:AR139)-1)+1),"")</f>
        <v>0</v>
      </c>
      <c r="AS139">
        <f>IFERROR(INDEX('N04-S04'!$T$18:$T$199,2*(ROWS(AS$134:AS139)-1)+1),"")</f>
        <v>0</v>
      </c>
      <c r="AT139" s="13" t="str">
        <f>IFERROR(INDEX('N04-S04'!$AY$18:$AY$199,2*(ROWS(AT$134:AT139)-1)+1),"")</f>
        <v/>
      </c>
      <c r="AU139" s="13" t="str">
        <f>IFERROR(INDEX('N04-S04'!$AZ$18:$AZ$199,2*(ROWS(AU$134:AU139)-1)+1),"")</f>
        <v/>
      </c>
      <c r="AV139" t="str">
        <f>IFERROR(INDEX('N04-S04'!$BA$18:$BA$199,2*(ROWS(AV$134:AV139)-1)+1),"")</f>
        <v/>
      </c>
      <c r="AW139" t="str">
        <f>IFERROR(INDEX('N04-S04'!$BF$18:$BF$199,2*(ROWS(AW$134:AW139)-1)+1),"")</f>
        <v/>
      </c>
      <c r="AX139" t="s">
        <v>820</v>
      </c>
      <c r="AY139" s="170"/>
      <c r="AZ139" s="170"/>
      <c r="BA139" s="170"/>
      <c r="BB139" s="170"/>
      <c r="BC139" s="170"/>
      <c r="BD139" s="170"/>
      <c r="BE139" s="170"/>
      <c r="BF139" s="170"/>
      <c r="BG139" s="170"/>
      <c r="BH139" s="170"/>
      <c r="BI139" s="170"/>
      <c r="BJ139" s="170"/>
      <c r="BK139" s="170"/>
    </row>
    <row r="140" spans="1:63">
      <c r="A140" s="14">
        <f t="shared" si="18"/>
        <v>0</v>
      </c>
      <c r="B140" t="str">
        <f t="shared" si="19"/>
        <v/>
      </c>
      <c r="C140" t="str">
        <f>IFERROR(IF(INDEX('N04-S04'!$BO$18:$BO$199,2*(ROWS($C$134:C140)-1)+1)="","",INDEX('N04-S04'!$BO$18:$BO$199,2*(ROWS($C$134:C140)-1)+1)),"")</f>
        <v/>
      </c>
      <c r="D140" t="s">
        <v>50</v>
      </c>
      <c r="E140" t="s">
        <v>38</v>
      </c>
      <c r="F140" t="s">
        <v>50</v>
      </c>
      <c r="G140" t="str">
        <f>IFERROR(INDEX('N04-S04'!$BG$18:$BG$199,2*(ROWS(G$134:G140)-1)+1),"")</f>
        <v/>
      </c>
      <c r="H140" s="207"/>
      <c r="I140" s="189"/>
      <c r="J140" s="189"/>
      <c r="K140" s="189"/>
      <c r="L140" s="13" t="str">
        <f ca="1">IFERROR(ROUND(IF($AI140&lt;&gt;"","",INDEX('N04-S04'!$AE$18:$AE$199,2*(ROWS(L$134:L140)-1)+1)),2),"")</f>
        <v/>
      </c>
      <c r="N140" s="13" t="str">
        <f ca="1">IFERROR(ROUND(IF($AI140&lt;&gt;"","",INDEX('N04-S04'!$AH$18:$AH$199,2*(ROWS(N$134:N140)-1)+1)),2),"")</f>
        <v/>
      </c>
      <c r="O140" s="13" t="str">
        <f ca="1">IFERROR(ROUND(IF($AI140&lt;&gt;"","",INDEX('N04-S04'!$AB$18:$AB$199,2*(ROWS(O$134:O140)-1)+1)),2),"")</f>
        <v/>
      </c>
      <c r="P140" s="10" t="str">
        <f ca="1">IFERROR(IF(AI140&lt;&gt;"","",ROUND(INDEX('N04-S04'!$BB$18:$BB$199,2*(ROWS(P$134:P140)-1)+1),3)),"")</f>
        <v/>
      </c>
      <c r="Q140" s="10" t="str">
        <f ca="1">IFERROR(IF(AI140&lt;&gt;"","",ROUND(INDEX('N04-S04'!$BC$18:$BC$199,2*(ROWS(Q$134:Q140)-1)+1),3)),"")</f>
        <v/>
      </c>
      <c r="R140" s="207"/>
      <c r="S140" s="25" t="str">
        <f ca="1">IFERROR(IF(AI140&lt;&gt;"","",INDEX('N04-S04'!$AK$18:$AK$199,2*(ROWS(S$134:S140)-1)+1)),"")</f>
        <v/>
      </c>
      <c r="T140" s="31" t="str">
        <f ca="1">IFERROR(IF(AI140&lt;&gt;"","",INDEX('N04-S04'!$BI$18:$BI$199,2*(ROWS(T$134:T140)-1)+1)),"")</f>
        <v/>
      </c>
      <c r="U140" s="31" t="str">
        <f ca="1">IFERROR(IF(AI140&lt;&gt;"","",INDEX('N04-S04'!$BH$18:$BH$199,2*(ROWS(U$134:U140)-1)+1)),"")</f>
        <v/>
      </c>
      <c r="V140" s="13" t="str">
        <f ca="1">IFERROR(IF(AI140&lt;&gt;"","",INDEX('N04-S04'!$AN$18:$AN$199,2*(ROWS(V$134:V140)-1)+1)),"")</f>
        <v/>
      </c>
      <c r="W140" s="207"/>
      <c r="X140" s="207"/>
      <c r="Y140" s="13">
        <f ca="1">IFERROR(IF(AI140&lt;&gt;"",INDEX('N04-S04'!$AE$18:$AE$199,2*(ROWS(Y$134:Y140)-1)+1),""),"")</f>
        <v>0</v>
      </c>
      <c r="AA140" s="13" t="str">
        <f ca="1">IFERROR(IF($AI140&lt;&gt;"",INDEX('N04-S04'!$AH$18:$AH$199,2*(ROWS(AA$134:AA140)-1)+1),""),"")</f>
        <v/>
      </c>
      <c r="AB140" s="13">
        <f ca="1">IFERROR(IF($AI140&lt;&gt;"",INDEX('N04-S04'!$AB$18:$AB$199,2*(ROWS(AB$134:AB140)-1)+1),""),"")</f>
        <v>0</v>
      </c>
      <c r="AC140" s="10" t="str">
        <f ca="1">IFERROR(IF(AI140&lt;&gt;"",ROUND(INDEX('N04-S04'!$BB$18:$BB$199,2*(ROWS(AC$134:AC140)-1)+1),3),""),"")</f>
        <v/>
      </c>
      <c r="AD140" s="10" t="str">
        <f ca="1">IFERROR(IF(AI140&lt;&gt;"",ROUND(INDEX('N04-S04'!$BC$18:$BC$199,2*(ROWS(AD$134:AD140)-1)+1),3),""),"")</f>
        <v/>
      </c>
      <c r="AE140" s="207"/>
      <c r="AF140" s="25" t="str">
        <f ca="1">IFERROR(IF(AI140&lt;&gt;"",INDEX('N04-S04'!$AK$18:$AK$199,2*(ROWS(AF$134:AF140)-1)+1),""),"")</f>
        <v/>
      </c>
      <c r="AG140" s="31">
        <f ca="1">IFERROR(IF(AI140&lt;&gt;"",INDEX('N04-S04'!$BI$18:$BI$199,2*(ROWS(AG$134:AG140)-1)+1),""),"")</f>
        <v>0</v>
      </c>
      <c r="AH140" s="31" t="str">
        <f ca="1">IFERROR(IF(AI140&lt;&gt;"",INDEX('N04-S04'!$BH$18:$BH$199,2*(ROWS(AH$134:AH140)-1)+1),""),"")</f>
        <v/>
      </c>
      <c r="AI140" t="str">
        <f ca="1">IFERROR(INDEX('N04-S04'!$BQ$18:$BQ$199,2*(ROWS(AI$134:AI140)-1)+1),"")</f>
        <v>Submit for Review</v>
      </c>
      <c r="AJ140" s="25" t="str">
        <f>IFERROR(INDEX('N04-S04'!$BD$18:$BD$199,2*(ROWS(AJ$134:AJ140)-1)+1),"")</f>
        <v/>
      </c>
      <c r="AK140" s="25" t="str">
        <f>IFERROR(INDEX('N04-S04'!$BE$18:$BE$199,2*(ROWS(AK$134:AK140)-1)+1),"")</f>
        <v/>
      </c>
      <c r="AL140" s="207"/>
      <c r="AM140" s="207"/>
      <c r="AN140" s="207"/>
      <c r="AO140">
        <f>IFERROR(INDEX('N04-S04'!$B$18:$B$199,2*(ROWS(AO$134:AO140)-1)+1),"")</f>
        <v>7</v>
      </c>
      <c r="AP140" s="189"/>
      <c r="AQ140">
        <f>IFERROR(INDEX('N04-S04'!$C$18:$C$199,2*(ROWS(AQ$134:AQ140)-1)+1),"")</f>
        <v>0</v>
      </c>
      <c r="AR140">
        <f>IFERROR(INDEX('N04-S04'!$L$18:$L$199,2*(ROWS(AR$134:AR140)-1)+1),"")</f>
        <v>0</v>
      </c>
      <c r="AS140">
        <f>IFERROR(INDEX('N04-S04'!$T$18:$T$199,2*(ROWS(AS$134:AS140)-1)+1),"")</f>
        <v>0</v>
      </c>
      <c r="AT140" s="13" t="str">
        <f>IFERROR(INDEX('N04-S04'!$AY$18:$AY$199,2*(ROWS(AT$134:AT140)-1)+1),"")</f>
        <v/>
      </c>
      <c r="AU140" s="13" t="str">
        <f>IFERROR(INDEX('N04-S04'!$AZ$18:$AZ$199,2*(ROWS(AU$134:AU140)-1)+1),"")</f>
        <v/>
      </c>
      <c r="AV140" t="str">
        <f>IFERROR(INDEX('N04-S04'!$BA$18:$BA$199,2*(ROWS(AV$134:AV140)-1)+1),"")</f>
        <v/>
      </c>
      <c r="AW140" t="str">
        <f>IFERROR(INDEX('N04-S04'!$BF$18:$BF$199,2*(ROWS(AW$134:AW140)-1)+1),"")</f>
        <v/>
      </c>
      <c r="AX140" t="s">
        <v>820</v>
      </c>
      <c r="AY140" s="170"/>
      <c r="AZ140" s="170"/>
      <c r="BA140" s="170"/>
      <c r="BB140" s="170"/>
      <c r="BC140" s="170"/>
      <c r="BD140" s="170"/>
      <c r="BE140" s="170"/>
      <c r="BF140" s="170"/>
      <c r="BG140" s="170"/>
      <c r="BH140" s="170"/>
      <c r="BI140" s="170"/>
      <c r="BJ140" s="170"/>
      <c r="BK140" s="170"/>
    </row>
    <row r="141" spans="1:63">
      <c r="A141" s="14">
        <f t="shared" si="18"/>
        <v>0</v>
      </c>
      <c r="B141" t="str">
        <f t="shared" si="19"/>
        <v/>
      </c>
      <c r="C141" t="str">
        <f>IFERROR(IF(INDEX('N04-S04'!$BO$18:$BO$199,2*(ROWS($C$134:C141)-1)+1)="","",INDEX('N04-S04'!$BO$18:$BO$199,2*(ROWS($C$134:C141)-1)+1)),"")</f>
        <v/>
      </c>
      <c r="D141" t="s">
        <v>50</v>
      </c>
      <c r="E141" t="s">
        <v>38</v>
      </c>
      <c r="F141" t="s">
        <v>50</v>
      </c>
      <c r="G141" t="str">
        <f>IFERROR(INDEX('N04-S04'!$BG$18:$BG$199,2*(ROWS(G$134:G141)-1)+1),"")</f>
        <v/>
      </c>
      <c r="H141" s="207"/>
      <c r="I141" s="189"/>
      <c r="J141" s="189"/>
      <c r="K141" s="189"/>
      <c r="L141" s="13" t="str">
        <f ca="1">IFERROR(ROUND(IF($AI141&lt;&gt;"","",INDEX('N04-S04'!$AE$18:$AE$199,2*(ROWS(L$134:L141)-1)+1)),2),"")</f>
        <v/>
      </c>
      <c r="N141" s="13" t="str">
        <f ca="1">IFERROR(ROUND(IF($AI141&lt;&gt;"","",INDEX('N04-S04'!$AH$18:$AH$199,2*(ROWS(N$134:N141)-1)+1)),2),"")</f>
        <v/>
      </c>
      <c r="O141" s="13" t="str">
        <f ca="1">IFERROR(ROUND(IF($AI141&lt;&gt;"","",INDEX('N04-S04'!$AB$18:$AB$199,2*(ROWS(O$134:O141)-1)+1)),2),"")</f>
        <v/>
      </c>
      <c r="P141" s="10" t="str">
        <f ca="1">IFERROR(IF(AI141&lt;&gt;"","",ROUND(INDEX('N04-S04'!$BB$18:$BB$199,2*(ROWS(P$134:P141)-1)+1),3)),"")</f>
        <v/>
      </c>
      <c r="Q141" s="10" t="str">
        <f ca="1">IFERROR(IF(AI141&lt;&gt;"","",ROUND(INDEX('N04-S04'!$BC$18:$BC$199,2*(ROWS(Q$134:Q141)-1)+1),3)),"")</f>
        <v/>
      </c>
      <c r="R141" s="207"/>
      <c r="S141" s="25" t="str">
        <f ca="1">IFERROR(IF(AI141&lt;&gt;"","",INDEX('N04-S04'!$AK$18:$AK$199,2*(ROWS(S$134:S141)-1)+1)),"")</f>
        <v/>
      </c>
      <c r="T141" s="31" t="str">
        <f ca="1">IFERROR(IF(AI141&lt;&gt;"","",INDEX('N04-S04'!$BI$18:$BI$199,2*(ROWS(T$134:T141)-1)+1)),"")</f>
        <v/>
      </c>
      <c r="U141" s="31" t="str">
        <f ca="1">IFERROR(IF(AI141&lt;&gt;"","",INDEX('N04-S04'!$BH$18:$BH$199,2*(ROWS(U$134:U141)-1)+1)),"")</f>
        <v/>
      </c>
      <c r="V141" s="13" t="str">
        <f ca="1">IFERROR(IF(AI141&lt;&gt;"","",INDEX('N04-S04'!$AN$18:$AN$199,2*(ROWS(V$134:V141)-1)+1)),"")</f>
        <v/>
      </c>
      <c r="W141" s="207"/>
      <c r="X141" s="207"/>
      <c r="Y141" s="13">
        <f ca="1">IFERROR(IF(AI141&lt;&gt;"",INDEX('N04-S04'!$AE$18:$AE$199,2*(ROWS(Y$134:Y141)-1)+1),""),"")</f>
        <v>0</v>
      </c>
      <c r="AA141" s="13" t="str">
        <f ca="1">IFERROR(IF($AI141&lt;&gt;"",INDEX('N04-S04'!$AH$18:$AH$199,2*(ROWS(AA$134:AA141)-1)+1),""),"")</f>
        <v/>
      </c>
      <c r="AB141" s="13">
        <f ca="1">IFERROR(IF($AI141&lt;&gt;"",INDEX('N04-S04'!$AB$18:$AB$199,2*(ROWS(AB$134:AB141)-1)+1),""),"")</f>
        <v>0</v>
      </c>
      <c r="AC141" s="10" t="str">
        <f ca="1">IFERROR(IF(AI141&lt;&gt;"",ROUND(INDEX('N04-S04'!$BB$18:$BB$199,2*(ROWS(AC$134:AC141)-1)+1),3),""),"")</f>
        <v/>
      </c>
      <c r="AD141" s="10" t="str">
        <f ca="1">IFERROR(IF(AI141&lt;&gt;"",ROUND(INDEX('N04-S04'!$BC$18:$BC$199,2*(ROWS(AD$134:AD141)-1)+1),3),""),"")</f>
        <v/>
      </c>
      <c r="AE141" s="207"/>
      <c r="AF141" s="25" t="str">
        <f ca="1">IFERROR(IF(AI141&lt;&gt;"",INDEX('N04-S04'!$AK$18:$AK$199,2*(ROWS(AF$134:AF141)-1)+1),""),"")</f>
        <v/>
      </c>
      <c r="AG141" s="31">
        <f ca="1">IFERROR(IF(AI141&lt;&gt;"",INDEX('N04-S04'!$BI$18:$BI$199,2*(ROWS(AG$134:AG141)-1)+1),""),"")</f>
        <v>0</v>
      </c>
      <c r="AH141" s="31" t="str">
        <f ca="1">IFERROR(IF(AI141&lt;&gt;"",INDEX('N04-S04'!$BH$18:$BH$199,2*(ROWS(AH$134:AH141)-1)+1),""),"")</f>
        <v/>
      </c>
      <c r="AI141" t="str">
        <f ca="1">IFERROR(INDEX('N04-S04'!$BQ$18:$BQ$199,2*(ROWS(AI$134:AI141)-1)+1),"")</f>
        <v>Submit for Review</v>
      </c>
      <c r="AJ141" s="25" t="str">
        <f>IFERROR(INDEX('N04-S04'!$BD$18:$BD$199,2*(ROWS(AJ$134:AJ141)-1)+1),"")</f>
        <v/>
      </c>
      <c r="AK141" s="25" t="str">
        <f>IFERROR(INDEX('N04-S04'!$BE$18:$BE$199,2*(ROWS(AK$134:AK141)-1)+1),"")</f>
        <v/>
      </c>
      <c r="AL141" s="207"/>
      <c r="AM141" s="207"/>
      <c r="AN141" s="207"/>
      <c r="AO141">
        <f>IFERROR(INDEX('N04-S04'!$B$18:$B$199,2*(ROWS(AO$134:AO141)-1)+1),"")</f>
        <v>8</v>
      </c>
      <c r="AP141" s="189"/>
      <c r="AQ141">
        <f>IFERROR(INDEX('N04-S04'!$C$18:$C$199,2*(ROWS(AQ$134:AQ141)-1)+1),"")</f>
        <v>0</v>
      </c>
      <c r="AR141">
        <f>IFERROR(INDEX('N04-S04'!$L$18:$L$199,2*(ROWS(AR$134:AR141)-1)+1),"")</f>
        <v>0</v>
      </c>
      <c r="AS141">
        <f>IFERROR(INDEX('N04-S04'!$T$18:$T$199,2*(ROWS(AS$134:AS141)-1)+1),"")</f>
        <v>0</v>
      </c>
      <c r="AT141" s="13" t="str">
        <f>IFERROR(INDEX('N04-S04'!$AY$18:$AY$199,2*(ROWS(AT$134:AT141)-1)+1),"")</f>
        <v/>
      </c>
      <c r="AU141" s="13" t="str">
        <f>IFERROR(INDEX('N04-S04'!$AZ$18:$AZ$199,2*(ROWS(AU$134:AU141)-1)+1),"")</f>
        <v/>
      </c>
      <c r="AV141" t="str">
        <f>IFERROR(INDEX('N04-S04'!$BA$18:$BA$199,2*(ROWS(AV$134:AV141)-1)+1),"")</f>
        <v/>
      </c>
      <c r="AW141" t="str">
        <f>IFERROR(INDEX('N04-S04'!$BF$18:$BF$199,2*(ROWS(AW$134:AW141)-1)+1),"")</f>
        <v/>
      </c>
      <c r="AX141" t="s">
        <v>820</v>
      </c>
      <c r="AY141" s="170"/>
      <c r="AZ141" s="170"/>
      <c r="BA141" s="170"/>
      <c r="BB141" s="170"/>
      <c r="BC141" s="170"/>
      <c r="BD141" s="170"/>
      <c r="BE141" s="170"/>
      <c r="BF141" s="170"/>
      <c r="BG141" s="170"/>
      <c r="BH141" s="170"/>
      <c r="BI141" s="170"/>
      <c r="BJ141" s="170"/>
      <c r="BK141" s="170"/>
    </row>
    <row r="142" spans="1:63">
      <c r="A142" s="14">
        <f t="shared" si="18"/>
        <v>0</v>
      </c>
      <c r="B142" t="str">
        <f t="shared" si="19"/>
        <v/>
      </c>
      <c r="C142" t="str">
        <f>IFERROR(IF(INDEX('N04-S04'!$BO$18:$BO$199,2*(ROWS($C$134:C142)-1)+1)="","",INDEX('N04-S04'!$BO$18:$BO$199,2*(ROWS($C$134:C142)-1)+1)),"")</f>
        <v/>
      </c>
      <c r="D142" t="s">
        <v>50</v>
      </c>
      <c r="E142" t="s">
        <v>38</v>
      </c>
      <c r="F142" t="s">
        <v>50</v>
      </c>
      <c r="G142" t="str">
        <f>IFERROR(INDEX('N04-S04'!$BG$18:$BG$199,2*(ROWS(G$134:G142)-1)+1),"")</f>
        <v/>
      </c>
      <c r="H142" s="207"/>
      <c r="I142" s="189"/>
      <c r="J142" s="189"/>
      <c r="K142" s="189"/>
      <c r="L142" s="13" t="str">
        <f ca="1">IFERROR(ROUND(IF($AI142&lt;&gt;"","",INDEX('N04-S04'!$AE$18:$AE$199,2*(ROWS(L$134:L142)-1)+1)),2),"")</f>
        <v/>
      </c>
      <c r="N142" s="13" t="str">
        <f ca="1">IFERROR(ROUND(IF($AI142&lt;&gt;"","",INDEX('N04-S04'!$AH$18:$AH$199,2*(ROWS(N$134:N142)-1)+1)),2),"")</f>
        <v/>
      </c>
      <c r="O142" s="13" t="str">
        <f ca="1">IFERROR(ROUND(IF($AI142&lt;&gt;"","",INDEX('N04-S04'!$AB$18:$AB$199,2*(ROWS(O$134:O142)-1)+1)),2),"")</f>
        <v/>
      </c>
      <c r="P142" s="10" t="str">
        <f ca="1">IFERROR(IF(AI142&lt;&gt;"","",ROUND(INDEX('N04-S04'!$BB$18:$BB$199,2*(ROWS(P$134:P142)-1)+1),3)),"")</f>
        <v/>
      </c>
      <c r="Q142" s="10" t="str">
        <f ca="1">IFERROR(IF(AI142&lt;&gt;"","",ROUND(INDEX('N04-S04'!$BC$18:$BC$199,2*(ROWS(Q$134:Q142)-1)+1),3)),"")</f>
        <v/>
      </c>
      <c r="R142" s="207"/>
      <c r="S142" s="25" t="str">
        <f ca="1">IFERROR(IF(AI142&lt;&gt;"","",INDEX('N04-S04'!$AK$18:$AK$199,2*(ROWS(S$134:S142)-1)+1)),"")</f>
        <v/>
      </c>
      <c r="T142" s="31" t="str">
        <f ca="1">IFERROR(IF(AI142&lt;&gt;"","",INDEX('N04-S04'!$BI$18:$BI$199,2*(ROWS(T$134:T142)-1)+1)),"")</f>
        <v/>
      </c>
      <c r="U142" s="31" t="str">
        <f ca="1">IFERROR(IF(AI142&lt;&gt;"","",INDEX('N04-S04'!$BH$18:$BH$199,2*(ROWS(U$134:U142)-1)+1)),"")</f>
        <v/>
      </c>
      <c r="V142" s="13" t="str">
        <f ca="1">IFERROR(IF(AI142&lt;&gt;"","",INDEX('N04-S04'!$AN$18:$AN$199,2*(ROWS(V$134:V142)-1)+1)),"")</f>
        <v/>
      </c>
      <c r="W142" s="207"/>
      <c r="X142" s="207"/>
      <c r="Y142" s="13">
        <f ca="1">IFERROR(IF(AI142&lt;&gt;"",INDEX('N04-S04'!$AE$18:$AE$199,2*(ROWS(Y$134:Y142)-1)+1),""),"")</f>
        <v>0</v>
      </c>
      <c r="AA142" s="13" t="str">
        <f ca="1">IFERROR(IF($AI142&lt;&gt;"",INDEX('N04-S04'!$AH$18:$AH$199,2*(ROWS(AA$134:AA142)-1)+1),""),"")</f>
        <v/>
      </c>
      <c r="AB142" s="13">
        <f ca="1">IFERROR(IF($AI142&lt;&gt;"",INDEX('N04-S04'!$AB$18:$AB$199,2*(ROWS(AB$134:AB142)-1)+1),""),"")</f>
        <v>0</v>
      </c>
      <c r="AC142" s="10" t="str">
        <f ca="1">IFERROR(IF(AI142&lt;&gt;"",ROUND(INDEX('N04-S04'!$BB$18:$BB$199,2*(ROWS(AC$134:AC142)-1)+1),3),""),"")</f>
        <v/>
      </c>
      <c r="AD142" s="10" t="str">
        <f ca="1">IFERROR(IF(AI142&lt;&gt;"",ROUND(INDEX('N04-S04'!$BC$18:$BC$199,2*(ROWS(AD$134:AD142)-1)+1),3),""),"")</f>
        <v/>
      </c>
      <c r="AE142" s="207"/>
      <c r="AF142" s="25" t="str">
        <f ca="1">IFERROR(IF(AI142&lt;&gt;"",INDEX('N04-S04'!$AK$18:$AK$199,2*(ROWS(AF$134:AF142)-1)+1),""),"")</f>
        <v/>
      </c>
      <c r="AG142" s="31">
        <f ca="1">IFERROR(IF(AI142&lt;&gt;"",INDEX('N04-S04'!$BI$18:$BI$199,2*(ROWS(AG$134:AG142)-1)+1),""),"")</f>
        <v>0</v>
      </c>
      <c r="AH142" s="31" t="str">
        <f ca="1">IFERROR(IF(AI142&lt;&gt;"",INDEX('N04-S04'!$BH$18:$BH$199,2*(ROWS(AH$134:AH142)-1)+1),""),"")</f>
        <v/>
      </c>
      <c r="AI142" t="str">
        <f ca="1">IFERROR(INDEX('N04-S04'!$BQ$18:$BQ$199,2*(ROWS(AI$134:AI142)-1)+1),"")</f>
        <v>Submit for Review</v>
      </c>
      <c r="AJ142" s="25" t="str">
        <f>IFERROR(INDEX('N04-S04'!$BD$18:$BD$199,2*(ROWS(AJ$134:AJ142)-1)+1),"")</f>
        <v/>
      </c>
      <c r="AK142" s="25" t="str">
        <f>IFERROR(INDEX('N04-S04'!$BE$18:$BE$199,2*(ROWS(AK$134:AK142)-1)+1),"")</f>
        <v/>
      </c>
      <c r="AL142" s="207"/>
      <c r="AM142" s="207"/>
      <c r="AN142" s="207"/>
      <c r="AO142">
        <f>IFERROR(INDEX('N04-S04'!$B$18:$B$199,2*(ROWS(AO$134:AO142)-1)+1),"")</f>
        <v>9</v>
      </c>
      <c r="AP142" s="189"/>
      <c r="AQ142">
        <f>IFERROR(INDEX('N04-S04'!$C$18:$C$199,2*(ROWS(AQ$134:AQ142)-1)+1),"")</f>
        <v>0</v>
      </c>
      <c r="AR142">
        <f>IFERROR(INDEX('N04-S04'!$L$18:$L$199,2*(ROWS(AR$134:AR142)-1)+1),"")</f>
        <v>0</v>
      </c>
      <c r="AS142">
        <f>IFERROR(INDEX('N04-S04'!$T$18:$T$199,2*(ROWS(AS$134:AS142)-1)+1),"")</f>
        <v>0</v>
      </c>
      <c r="AT142" s="13" t="str">
        <f>IFERROR(INDEX('N04-S04'!$AY$18:$AY$199,2*(ROWS(AT$134:AT142)-1)+1),"")</f>
        <v/>
      </c>
      <c r="AU142" s="13" t="str">
        <f>IFERROR(INDEX('N04-S04'!$AZ$18:$AZ$199,2*(ROWS(AU$134:AU142)-1)+1),"")</f>
        <v/>
      </c>
      <c r="AV142" t="str">
        <f>IFERROR(INDEX('N04-S04'!$BA$18:$BA$199,2*(ROWS(AV$134:AV142)-1)+1),"")</f>
        <v/>
      </c>
      <c r="AW142" t="str">
        <f>IFERROR(INDEX('N04-S04'!$BF$18:$BF$199,2*(ROWS(AW$134:AW142)-1)+1),"")</f>
        <v/>
      </c>
      <c r="AX142" t="s">
        <v>820</v>
      </c>
      <c r="AY142" s="170"/>
      <c r="AZ142" s="170"/>
      <c r="BA142" s="170"/>
      <c r="BB142" s="170"/>
      <c r="BC142" s="170"/>
      <c r="BD142" s="170"/>
      <c r="BE142" s="170"/>
      <c r="BF142" s="170"/>
      <c r="BG142" s="170"/>
      <c r="BH142" s="170"/>
      <c r="BI142" s="170"/>
      <c r="BJ142" s="170"/>
      <c r="BK142" s="170"/>
    </row>
    <row r="143" spans="1:63">
      <c r="A143" s="14">
        <f t="shared" si="18"/>
        <v>0</v>
      </c>
      <c r="B143" t="str">
        <f t="shared" si="19"/>
        <v/>
      </c>
      <c r="C143" t="str">
        <f>IFERROR(IF(INDEX('N04-S04'!$BO$18:$BO$199,2*(ROWS($C$134:C143)-1)+1)="","",INDEX('N04-S04'!$BO$18:$BO$199,2*(ROWS($C$134:C143)-1)+1)),"")</f>
        <v/>
      </c>
      <c r="D143" t="s">
        <v>50</v>
      </c>
      <c r="E143" t="s">
        <v>38</v>
      </c>
      <c r="F143" t="s">
        <v>50</v>
      </c>
      <c r="G143" t="str">
        <f>IFERROR(INDEX('N04-S04'!$BG$18:$BG$199,2*(ROWS(G$134:G143)-1)+1),"")</f>
        <v/>
      </c>
      <c r="H143" s="207"/>
      <c r="I143" s="189"/>
      <c r="J143" s="189"/>
      <c r="K143" s="189"/>
      <c r="L143" s="13" t="str">
        <f ca="1">IFERROR(ROUND(IF($AI143&lt;&gt;"","",INDEX('N04-S04'!$AE$18:$AE$199,2*(ROWS(L$134:L143)-1)+1)),2),"")</f>
        <v/>
      </c>
      <c r="N143" s="13" t="str">
        <f ca="1">IFERROR(ROUND(IF($AI143&lt;&gt;"","",INDEX('N04-S04'!$AH$18:$AH$199,2*(ROWS(N$134:N143)-1)+1)),2),"")</f>
        <v/>
      </c>
      <c r="O143" s="13" t="str">
        <f ca="1">IFERROR(ROUND(IF($AI143&lt;&gt;"","",INDEX('N04-S04'!$AB$18:$AB$199,2*(ROWS(O$134:O143)-1)+1)),2),"")</f>
        <v/>
      </c>
      <c r="P143" s="10" t="str">
        <f ca="1">IFERROR(IF(AI143&lt;&gt;"","",ROUND(INDEX('N04-S04'!$BB$18:$BB$199,2*(ROWS(P$134:P143)-1)+1),3)),"")</f>
        <v/>
      </c>
      <c r="Q143" s="10" t="str">
        <f ca="1">IFERROR(IF(AI143&lt;&gt;"","",ROUND(INDEX('N04-S04'!$BC$18:$BC$199,2*(ROWS(Q$134:Q143)-1)+1),3)),"")</f>
        <v/>
      </c>
      <c r="R143" s="207"/>
      <c r="S143" s="25" t="str">
        <f ca="1">IFERROR(IF(AI143&lt;&gt;"","",INDEX('N04-S04'!$AK$18:$AK$199,2*(ROWS(S$134:S143)-1)+1)),"")</f>
        <v/>
      </c>
      <c r="T143" s="31" t="str">
        <f ca="1">IFERROR(IF(AI143&lt;&gt;"","",INDEX('N04-S04'!$BI$18:$BI$199,2*(ROWS(T$134:T143)-1)+1)),"")</f>
        <v/>
      </c>
      <c r="U143" s="31" t="str">
        <f ca="1">IFERROR(IF(AI143&lt;&gt;"","",INDEX('N04-S04'!$BH$18:$BH$199,2*(ROWS(U$134:U143)-1)+1)),"")</f>
        <v/>
      </c>
      <c r="V143" s="13" t="str">
        <f ca="1">IFERROR(IF(AI143&lt;&gt;"","",INDEX('N04-S04'!$AN$18:$AN$199,2*(ROWS(V$134:V143)-1)+1)),"")</f>
        <v/>
      </c>
      <c r="W143" s="207"/>
      <c r="X143" s="207"/>
      <c r="Y143" s="13">
        <f ca="1">IFERROR(IF(AI143&lt;&gt;"",INDEX('N04-S04'!$AE$18:$AE$199,2*(ROWS(Y$134:Y143)-1)+1),""),"")</f>
        <v>0</v>
      </c>
      <c r="AA143" s="13" t="str">
        <f ca="1">IFERROR(IF($AI143&lt;&gt;"",INDEX('N04-S04'!$AH$18:$AH$199,2*(ROWS(AA$134:AA143)-1)+1),""),"")</f>
        <v/>
      </c>
      <c r="AB143" s="13">
        <f ca="1">IFERROR(IF($AI143&lt;&gt;"",INDEX('N04-S04'!$AB$18:$AB$199,2*(ROWS(AB$134:AB143)-1)+1),""),"")</f>
        <v>0</v>
      </c>
      <c r="AC143" s="10" t="str">
        <f ca="1">IFERROR(IF(AI143&lt;&gt;"",ROUND(INDEX('N04-S04'!$BB$18:$BB$199,2*(ROWS(AC$134:AC143)-1)+1),3),""),"")</f>
        <v/>
      </c>
      <c r="AD143" s="10" t="str">
        <f ca="1">IFERROR(IF(AI143&lt;&gt;"",ROUND(INDEX('N04-S04'!$BC$18:$BC$199,2*(ROWS(AD$134:AD143)-1)+1),3),""),"")</f>
        <v/>
      </c>
      <c r="AE143" s="207"/>
      <c r="AF143" s="25" t="str">
        <f ca="1">IFERROR(IF(AI143&lt;&gt;"",INDEX('N04-S04'!$AK$18:$AK$199,2*(ROWS(AF$134:AF143)-1)+1),""),"")</f>
        <v/>
      </c>
      <c r="AG143" s="31">
        <f ca="1">IFERROR(IF(AI143&lt;&gt;"",INDEX('N04-S04'!$BI$18:$BI$199,2*(ROWS(AG$134:AG143)-1)+1),""),"")</f>
        <v>0</v>
      </c>
      <c r="AH143" s="31" t="str">
        <f ca="1">IFERROR(IF(AI143&lt;&gt;"",INDEX('N04-S04'!$BH$18:$BH$199,2*(ROWS(AH$134:AH143)-1)+1),""),"")</f>
        <v/>
      </c>
      <c r="AI143" t="str">
        <f ca="1">IFERROR(INDEX('N04-S04'!$BQ$18:$BQ$199,2*(ROWS(AI$134:AI143)-1)+1),"")</f>
        <v>Submit for Review</v>
      </c>
      <c r="AJ143" s="25" t="str">
        <f>IFERROR(INDEX('N04-S04'!$BD$18:$BD$199,2*(ROWS(AJ$134:AJ143)-1)+1),"")</f>
        <v/>
      </c>
      <c r="AK143" s="25" t="str">
        <f>IFERROR(INDEX('N04-S04'!$BE$18:$BE$199,2*(ROWS(AK$134:AK143)-1)+1),"")</f>
        <v/>
      </c>
      <c r="AL143" s="207"/>
      <c r="AM143" s="207"/>
      <c r="AN143" s="207"/>
      <c r="AO143">
        <f>IFERROR(INDEX('N04-S04'!$B$18:$B$199,2*(ROWS(AO$134:AO143)-1)+1),"")</f>
        <v>10</v>
      </c>
      <c r="AP143" s="189"/>
      <c r="AQ143">
        <f>IFERROR(INDEX('N04-S04'!$C$18:$C$199,2*(ROWS(AQ$134:AQ143)-1)+1),"")</f>
        <v>0</v>
      </c>
      <c r="AR143">
        <f>IFERROR(INDEX('N04-S04'!$L$18:$L$199,2*(ROWS(AR$134:AR143)-1)+1),"")</f>
        <v>0</v>
      </c>
      <c r="AS143">
        <f>IFERROR(INDEX('N04-S04'!$T$18:$T$199,2*(ROWS(AS$134:AS143)-1)+1),"")</f>
        <v>0</v>
      </c>
      <c r="AT143" s="13" t="str">
        <f>IFERROR(INDEX('N04-S04'!$AY$18:$AY$199,2*(ROWS(AT$134:AT143)-1)+1),"")</f>
        <v/>
      </c>
      <c r="AU143" s="13" t="str">
        <f>IFERROR(INDEX('N04-S04'!$AZ$18:$AZ$199,2*(ROWS(AU$134:AU143)-1)+1),"")</f>
        <v/>
      </c>
      <c r="AV143" t="str">
        <f>IFERROR(INDEX('N04-S04'!$BA$18:$BA$199,2*(ROWS(AV$134:AV143)-1)+1),"")</f>
        <v/>
      </c>
      <c r="AW143" t="str">
        <f>IFERROR(INDEX('N04-S04'!$BF$18:$BF$199,2*(ROWS(AW$134:AW143)-1)+1),"")</f>
        <v/>
      </c>
      <c r="AX143" t="s">
        <v>820</v>
      </c>
      <c r="AY143" s="170"/>
      <c r="AZ143" s="170"/>
      <c r="BA143" s="170"/>
      <c r="BB143" s="170"/>
      <c r="BC143" s="170"/>
      <c r="BD143" s="170"/>
      <c r="BE143" s="170"/>
      <c r="BF143" s="170"/>
      <c r="BG143" s="170"/>
      <c r="BH143" s="170"/>
      <c r="BI143" s="170"/>
      <c r="BJ143" s="170"/>
      <c r="BK143" s="170"/>
    </row>
    <row r="144" spans="1:63">
      <c r="A144" s="14">
        <f t="shared" si="18"/>
        <v>0</v>
      </c>
      <c r="B144" t="str">
        <f t="shared" si="19"/>
        <v/>
      </c>
      <c r="C144" t="str">
        <f>IFERROR(IF(INDEX('N04-S04'!$BO$18:$BO$199,2*(ROWS($C$134:C144)-1)+1)="","",INDEX('N04-S04'!$BO$18:$BO$199,2*(ROWS($C$134:C144)-1)+1)),"")</f>
        <v/>
      </c>
      <c r="D144" t="s">
        <v>50</v>
      </c>
      <c r="E144" t="s">
        <v>38</v>
      </c>
      <c r="F144" t="s">
        <v>50</v>
      </c>
      <c r="G144">
        <f>IFERROR(INDEX('N04-S04'!$BG$18:$BG$199,2*(ROWS(G$134:G144)-1)+1),"")</f>
        <v>0</v>
      </c>
      <c r="H144" s="207"/>
      <c r="I144" s="189"/>
      <c r="J144" s="189"/>
      <c r="K144" s="189"/>
      <c r="L144" s="13" t="str">
        <f>IFERROR(ROUND(IF($AI144&lt;&gt;"","",INDEX('N04-S04'!$AE$18:$AE$199,2*(ROWS(L$134:L144)-1)+1)),2),"")</f>
        <v/>
      </c>
      <c r="N144" s="13" t="str">
        <f>IFERROR(ROUND(IF($AI144&lt;&gt;"","",INDEX('N04-S04'!$AH$18:$AH$199,2*(ROWS(N$134:N144)-1)+1)),2),"")</f>
        <v/>
      </c>
      <c r="O144" s="13" t="str">
        <f>IFERROR(ROUND(IF($AI144&lt;&gt;"","",INDEX('N04-S04'!$AB$18:$AB$199,2*(ROWS(O$134:O144)-1)+1)),2),"")</f>
        <v/>
      </c>
      <c r="P144" s="10" t="str">
        <f>IFERROR(IF(AI144&lt;&gt;"","",ROUND(INDEX('N04-S04'!$BB$18:$BB$199,2*(ROWS(P$134:P144)-1)+1),3)),"")</f>
        <v/>
      </c>
      <c r="Q144" s="10" t="str">
        <f>IFERROR(IF(AI144&lt;&gt;"","",ROUND(INDEX('N04-S04'!$BC$18:$BC$199,2*(ROWS(Q$134:Q144)-1)+1),3)),"")</f>
        <v/>
      </c>
      <c r="R144" s="207"/>
      <c r="S144" s="25" t="str">
        <f>IFERROR(IF(AI144&lt;&gt;"","",INDEX('N04-S04'!$AK$18:$AK$199,2*(ROWS(S$134:S144)-1)+1)),"")</f>
        <v/>
      </c>
      <c r="T144" s="31" t="str">
        <f>IFERROR(IF(AI144&lt;&gt;"","",INDEX('N04-S04'!$BI$18:$BI$199,2*(ROWS(T$134:T144)-1)+1)),"")</f>
        <v/>
      </c>
      <c r="U144" s="31" t="str">
        <f>IFERROR(IF(AI144&lt;&gt;"","",INDEX('N04-S04'!$BH$18:$BH$199,2*(ROWS(U$134:U144)-1)+1)),"")</f>
        <v/>
      </c>
      <c r="V144" s="13" t="str">
        <f>IFERROR(IF(AI144&lt;&gt;"","",INDEX('N04-S04'!$AN$18:$AN$199,2*(ROWS(V$134:V144)-1)+1)),"")</f>
        <v/>
      </c>
      <c r="W144" s="207"/>
      <c r="X144" s="207"/>
      <c r="Y144" s="13">
        <f>IFERROR(IF(AI144&lt;&gt;"",INDEX('N04-S04'!$AE$18:$AE$199,2*(ROWS(Y$134:Y144)-1)+1),""),"")</f>
        <v>0</v>
      </c>
      <c r="AA144" s="13">
        <f>IFERROR(IF($AI144&lt;&gt;"",INDEX('N04-S04'!$AH$18:$AH$199,2*(ROWS(AA$134:AA144)-1)+1),""),"")</f>
        <v>0</v>
      </c>
      <c r="AB144" s="13">
        <f>IFERROR(IF($AI144&lt;&gt;"",INDEX('N04-S04'!$AB$18:$AB$199,2*(ROWS(AB$134:AB144)-1)+1),""),"")</f>
        <v>0</v>
      </c>
      <c r="AC144" s="10">
        <f>IFERROR(IF(AI144&lt;&gt;"",ROUND(INDEX('N04-S04'!$BB$18:$BB$199,2*(ROWS(AC$134:AC144)-1)+1),3),""),"")</f>
        <v>0</v>
      </c>
      <c r="AD144" s="10">
        <f>IFERROR(IF(AI144&lt;&gt;"",ROUND(INDEX('N04-S04'!$BC$18:$BC$199,2*(ROWS(AD$134:AD144)-1)+1),3),""),"")</f>
        <v>0</v>
      </c>
      <c r="AE144" s="207"/>
      <c r="AF144" s="25">
        <f>IFERROR(IF(AI144&lt;&gt;"",INDEX('N04-S04'!$AK$18:$AK$199,2*(ROWS(AF$134:AF144)-1)+1),""),"")</f>
        <v>0</v>
      </c>
      <c r="AG144" s="31">
        <f>IFERROR(IF(AI144&lt;&gt;"",INDEX('N04-S04'!$BI$18:$BI$199,2*(ROWS(AG$134:AG144)-1)+1),""),"")</f>
        <v>0</v>
      </c>
      <c r="AH144" s="31">
        <f>IFERROR(IF(AI144&lt;&gt;"",INDEX('N04-S04'!$BH$18:$BH$199,2*(ROWS(AH$134:AH144)-1)+1),""),"")</f>
        <v>0</v>
      </c>
      <c r="AI144">
        <f>IFERROR(INDEX('N04-S04'!$BQ$18:$BQ$199,2*(ROWS(AI$134:AI144)-1)+1),"")</f>
        <v>0</v>
      </c>
      <c r="AJ144" s="25">
        <f>IFERROR(INDEX('N04-S04'!$BD$18:$BD$199,2*(ROWS(AJ$134:AJ144)-1)+1),"")</f>
        <v>0</v>
      </c>
      <c r="AK144" s="25">
        <f>IFERROR(INDEX('N04-S04'!$BE$18:$BE$199,2*(ROWS(AK$134:AK144)-1)+1),"")</f>
        <v>0</v>
      </c>
      <c r="AL144" s="207"/>
      <c r="AM144" s="207"/>
      <c r="AN144" s="207"/>
      <c r="AO144">
        <f>IFERROR(INDEX('N04-S04'!$B$18:$B$199,2*(ROWS(AO$134:AO144)-1)+1),"")</f>
        <v>0</v>
      </c>
      <c r="AP144" s="189"/>
      <c r="AQ144">
        <f>IFERROR(INDEX('N04-S04'!$C$18:$C$199,2*(ROWS(AQ$134:AQ144)-1)+1),"")</f>
        <v>0</v>
      </c>
      <c r="AR144">
        <f>IFERROR(INDEX('N04-S04'!$L$18:$L$199,2*(ROWS(AR$134:AR144)-1)+1),"")</f>
        <v>0</v>
      </c>
      <c r="AS144">
        <f>IFERROR(INDEX('N04-S04'!$T$18:$T$199,2*(ROWS(AS$134:AS144)-1)+1),"")</f>
        <v>0</v>
      </c>
      <c r="AT144" s="13">
        <f>IFERROR(INDEX('N04-S04'!$AY$18:$AY$199,2*(ROWS(AT$134:AT144)-1)+1),"")</f>
        <v>0</v>
      </c>
      <c r="AU144" s="13">
        <f>IFERROR(INDEX('N04-S04'!$AZ$18:$AZ$199,2*(ROWS(AU$134:AU144)-1)+1),"")</f>
        <v>0</v>
      </c>
      <c r="AV144">
        <f>IFERROR(INDEX('N04-S04'!$BA$18:$BA$199,2*(ROWS(AV$134:AV144)-1)+1),"")</f>
        <v>0</v>
      </c>
      <c r="AW144">
        <f>IFERROR(INDEX('N04-S04'!$BF$18:$BF$199,2*(ROWS(AW$134:AW144)-1)+1),"")</f>
        <v>0</v>
      </c>
      <c r="AX144" t="s">
        <v>820</v>
      </c>
      <c r="AY144" s="170"/>
      <c r="AZ144" s="170"/>
      <c r="BA144" s="170"/>
      <c r="BB144" s="170"/>
      <c r="BC144" s="170"/>
      <c r="BD144" s="170"/>
      <c r="BE144" s="170"/>
      <c r="BF144" s="170"/>
      <c r="BG144" s="170"/>
      <c r="BH144" s="170"/>
      <c r="BI144" s="170"/>
      <c r="BJ144" s="170"/>
      <c r="BK144" s="170"/>
    </row>
    <row r="145" spans="1:63">
      <c r="A145" s="14">
        <f t="shared" si="18"/>
        <v>0</v>
      </c>
      <c r="B145" t="str">
        <f t="shared" si="19"/>
        <v/>
      </c>
      <c r="C145" t="str">
        <f>IFERROR(IF(INDEX('N04-S04'!$BO$18:$BO$199,2*(ROWS($C$134:C145)-1)+1)="","",INDEX('N04-S04'!$BO$18:$BO$199,2*(ROWS($C$134:C145)-1)+1)),"")</f>
        <v/>
      </c>
      <c r="D145" t="s">
        <v>50</v>
      </c>
      <c r="E145" t="s">
        <v>38</v>
      </c>
      <c r="F145" t="s">
        <v>50</v>
      </c>
      <c r="G145">
        <f>IFERROR(INDEX('N04-S04'!$BG$18:$BG$199,2*(ROWS(G$134:G145)-1)+1),"")</f>
        <v>0</v>
      </c>
      <c r="H145" s="207"/>
      <c r="I145" s="189"/>
      <c r="J145" s="189"/>
      <c r="K145" s="189"/>
      <c r="L145" s="13" t="str">
        <f>IFERROR(ROUND(IF($AI145&lt;&gt;"","",INDEX('N04-S04'!$AE$18:$AE$199,2*(ROWS(L$134:L145)-1)+1)),2),"")</f>
        <v/>
      </c>
      <c r="N145" s="13" t="str">
        <f>IFERROR(ROUND(IF($AI145&lt;&gt;"","",INDEX('N04-S04'!$AH$18:$AH$199,2*(ROWS(N$134:N145)-1)+1)),2),"")</f>
        <v/>
      </c>
      <c r="O145" s="13" t="str">
        <f>IFERROR(ROUND(IF($AI145&lt;&gt;"","",INDEX('N04-S04'!$AB$18:$AB$199,2*(ROWS(O$134:O145)-1)+1)),2),"")</f>
        <v/>
      </c>
      <c r="P145" s="10" t="str">
        <f>IFERROR(IF(AI145&lt;&gt;"","",ROUND(INDEX('N04-S04'!$BB$18:$BB$199,2*(ROWS(P$134:P145)-1)+1),3)),"")</f>
        <v/>
      </c>
      <c r="Q145" s="10" t="str">
        <f>IFERROR(IF(AI145&lt;&gt;"","",ROUND(INDEX('N04-S04'!$BC$18:$BC$199,2*(ROWS(Q$134:Q145)-1)+1),3)),"")</f>
        <v/>
      </c>
      <c r="R145" s="207"/>
      <c r="S145" s="25" t="str">
        <f>IFERROR(IF(AI145&lt;&gt;"","",INDEX('N04-S04'!$AK$18:$AK$199,2*(ROWS(S$134:S145)-1)+1)),"")</f>
        <v/>
      </c>
      <c r="T145" s="31" t="str">
        <f>IFERROR(IF(AI145&lt;&gt;"","",INDEX('N04-S04'!$BI$18:$BI$199,2*(ROWS(T$134:T145)-1)+1)),"")</f>
        <v/>
      </c>
      <c r="U145" s="31" t="str">
        <f>IFERROR(IF(AI145&lt;&gt;"","",INDEX('N04-S04'!$BH$18:$BH$199,2*(ROWS(U$134:U145)-1)+1)),"")</f>
        <v/>
      </c>
      <c r="V145" s="13" t="str">
        <f>IFERROR(IF(AI145&lt;&gt;"","",INDEX('N04-S04'!$AN$18:$AN$199,2*(ROWS(V$134:V145)-1)+1)),"")</f>
        <v/>
      </c>
      <c r="W145" s="207"/>
      <c r="X145" s="207"/>
      <c r="Y145" s="13">
        <f>IFERROR(IF(AI145&lt;&gt;"",INDEX('N04-S04'!$AE$18:$AE$199,2*(ROWS(Y$134:Y145)-1)+1),""),"")</f>
        <v>0</v>
      </c>
      <c r="AA145" s="13">
        <f>IFERROR(IF($AI145&lt;&gt;"",INDEX('N04-S04'!$AH$18:$AH$199,2*(ROWS(AA$134:AA145)-1)+1),""),"")</f>
        <v>0</v>
      </c>
      <c r="AB145" s="13">
        <f>IFERROR(IF($AI145&lt;&gt;"",INDEX('N04-S04'!$AB$18:$AB$199,2*(ROWS(AB$134:AB145)-1)+1),""),"")</f>
        <v>0</v>
      </c>
      <c r="AC145" s="10">
        <f>IFERROR(IF(AI145&lt;&gt;"",ROUND(INDEX('N04-S04'!$BB$18:$BB$199,2*(ROWS(AC$134:AC145)-1)+1),3),""),"")</f>
        <v>0</v>
      </c>
      <c r="AD145" s="10">
        <f>IFERROR(IF(AI145&lt;&gt;"",ROUND(INDEX('N04-S04'!$BC$18:$BC$199,2*(ROWS(AD$134:AD145)-1)+1),3),""),"")</f>
        <v>0</v>
      </c>
      <c r="AE145" s="207"/>
      <c r="AF145" s="25">
        <f>IFERROR(IF(AI145&lt;&gt;"",INDEX('N04-S04'!$AK$18:$AK$199,2*(ROWS(AF$134:AF145)-1)+1),""),"")</f>
        <v>0</v>
      </c>
      <c r="AG145" s="31">
        <f>IFERROR(IF(AI145&lt;&gt;"",INDEX('N04-S04'!$BI$18:$BI$199,2*(ROWS(AG$134:AG145)-1)+1),""),"")</f>
        <v>0</v>
      </c>
      <c r="AH145" s="31">
        <f>IFERROR(IF(AI145&lt;&gt;"",INDEX('N04-S04'!$BH$18:$BH$199,2*(ROWS(AH$134:AH145)-1)+1),""),"")</f>
        <v>0</v>
      </c>
      <c r="AI145">
        <f>IFERROR(INDEX('N04-S04'!$BQ$18:$BQ$199,2*(ROWS(AI$134:AI145)-1)+1),"")</f>
        <v>0</v>
      </c>
      <c r="AJ145" s="25">
        <f>IFERROR(INDEX('N04-S04'!$BD$18:$BD$199,2*(ROWS(AJ$134:AJ145)-1)+1),"")</f>
        <v>0</v>
      </c>
      <c r="AK145" s="25">
        <f>IFERROR(INDEX('N04-S04'!$BE$18:$BE$199,2*(ROWS(AK$134:AK145)-1)+1),"")</f>
        <v>0</v>
      </c>
      <c r="AL145" s="207"/>
      <c r="AM145" s="207"/>
      <c r="AN145" s="207"/>
      <c r="AO145">
        <f>IFERROR(INDEX('N04-S04'!$B$18:$B$199,2*(ROWS(AO$134:AO145)-1)+1),"")</f>
        <v>0</v>
      </c>
      <c r="AP145" s="189"/>
      <c r="AQ145">
        <f>IFERROR(INDEX('N04-S04'!$C$18:$C$199,2*(ROWS(AQ$134:AQ145)-1)+1),"")</f>
        <v>0</v>
      </c>
      <c r="AR145">
        <f>IFERROR(INDEX('N04-S04'!$L$18:$L$199,2*(ROWS(AR$134:AR145)-1)+1),"")</f>
        <v>0</v>
      </c>
      <c r="AS145">
        <f>IFERROR(INDEX('N04-S04'!$T$18:$T$199,2*(ROWS(AS$134:AS145)-1)+1),"")</f>
        <v>0</v>
      </c>
      <c r="AT145" s="13">
        <f>IFERROR(INDEX('N04-S04'!$AY$18:$AY$199,2*(ROWS(AT$134:AT145)-1)+1),"")</f>
        <v>0</v>
      </c>
      <c r="AU145" s="13">
        <f>IFERROR(INDEX('N04-S04'!$AZ$18:$AZ$199,2*(ROWS(AU$134:AU145)-1)+1),"")</f>
        <v>0</v>
      </c>
      <c r="AV145">
        <f>IFERROR(INDEX('N04-S04'!$BA$18:$BA$199,2*(ROWS(AV$134:AV145)-1)+1),"")</f>
        <v>0</v>
      </c>
      <c r="AW145">
        <f>IFERROR(INDEX('N04-S04'!$BF$18:$BF$199,2*(ROWS(AW$134:AW145)-1)+1),"")</f>
        <v>0</v>
      </c>
      <c r="AX145" t="s">
        <v>820</v>
      </c>
      <c r="AY145" s="170"/>
      <c r="AZ145" s="170"/>
      <c r="BA145" s="170"/>
      <c r="BB145" s="170"/>
      <c r="BC145" s="170"/>
      <c r="BD145" s="170"/>
      <c r="BE145" s="170"/>
      <c r="BF145" s="170"/>
      <c r="BG145" s="170"/>
      <c r="BH145" s="170"/>
      <c r="BI145" s="170"/>
      <c r="BJ145" s="170"/>
      <c r="BK145" s="170"/>
    </row>
    <row r="146" spans="1:63">
      <c r="A146" s="14">
        <f t="shared" si="18"/>
        <v>0</v>
      </c>
      <c r="B146" t="str">
        <f t="shared" si="19"/>
        <v/>
      </c>
      <c r="C146" t="str">
        <f>IFERROR(IF(INDEX('N04-S04'!$BO$18:$BO$199,2*(ROWS($C$134:C146)-1)+1)="","",INDEX('N04-S04'!$BO$18:$BO$199,2*(ROWS($C$134:C146)-1)+1)),"")</f>
        <v/>
      </c>
      <c r="D146" t="s">
        <v>50</v>
      </c>
      <c r="E146" t="s">
        <v>38</v>
      </c>
      <c r="F146" t="s">
        <v>50</v>
      </c>
      <c r="G146">
        <f>IFERROR(INDEX('N04-S04'!$BG$18:$BG$199,2*(ROWS(G$134:G146)-1)+1),"")</f>
        <v>0</v>
      </c>
      <c r="H146" s="207"/>
      <c r="I146" s="189"/>
      <c r="J146" s="189"/>
      <c r="K146" s="189"/>
      <c r="L146" s="13" t="str">
        <f>IFERROR(ROUND(IF($AI146&lt;&gt;"","",INDEX('N04-S04'!$AE$18:$AE$199,2*(ROWS(L$134:L146)-1)+1)),2),"")</f>
        <v/>
      </c>
      <c r="N146" s="13" t="str">
        <f>IFERROR(ROUND(IF($AI146&lt;&gt;"","",INDEX('N04-S04'!$AH$18:$AH$199,2*(ROWS(N$134:N146)-1)+1)),2),"")</f>
        <v/>
      </c>
      <c r="O146" s="13" t="str">
        <f>IFERROR(ROUND(IF($AI146&lt;&gt;"","",INDEX('N04-S04'!$AB$18:$AB$199,2*(ROWS(O$134:O146)-1)+1)),2),"")</f>
        <v/>
      </c>
      <c r="P146" s="10" t="str">
        <f>IFERROR(IF(AI146&lt;&gt;"","",ROUND(INDEX('N04-S04'!$BB$18:$BB$199,2*(ROWS(P$134:P146)-1)+1),3)),"")</f>
        <v/>
      </c>
      <c r="Q146" s="10" t="str">
        <f>IFERROR(IF(AI146&lt;&gt;"","",ROUND(INDEX('N04-S04'!$BC$18:$BC$199,2*(ROWS(Q$134:Q146)-1)+1),3)),"")</f>
        <v/>
      </c>
      <c r="R146" s="207"/>
      <c r="S146" s="25" t="str">
        <f>IFERROR(IF(AI146&lt;&gt;"","",INDEX('N04-S04'!$AK$18:$AK$199,2*(ROWS(S$134:S146)-1)+1)),"")</f>
        <v/>
      </c>
      <c r="T146" s="31" t="str">
        <f>IFERROR(IF(AI146&lt;&gt;"","",INDEX('N04-S04'!$BI$18:$BI$199,2*(ROWS(T$134:T146)-1)+1)),"")</f>
        <v/>
      </c>
      <c r="U146" s="31" t="str">
        <f>IFERROR(IF(AI146&lt;&gt;"","",INDEX('N04-S04'!$BH$18:$BH$199,2*(ROWS(U$134:U146)-1)+1)),"")</f>
        <v/>
      </c>
      <c r="V146" s="13" t="str">
        <f>IFERROR(IF(AI146&lt;&gt;"","",INDEX('N04-S04'!$AN$18:$AN$199,2*(ROWS(V$134:V146)-1)+1)),"")</f>
        <v/>
      </c>
      <c r="W146" s="207"/>
      <c r="X146" s="207"/>
      <c r="Y146" s="13">
        <f>IFERROR(IF(AI146&lt;&gt;"",INDEX('N04-S04'!$AE$18:$AE$199,2*(ROWS(Y$134:Y146)-1)+1),""),"")</f>
        <v>0</v>
      </c>
      <c r="AA146" s="13">
        <f>IFERROR(IF($AI146&lt;&gt;"",INDEX('N04-S04'!$AH$18:$AH$199,2*(ROWS(AA$134:AA146)-1)+1),""),"")</f>
        <v>0</v>
      </c>
      <c r="AB146" s="13">
        <f>IFERROR(IF($AI146&lt;&gt;"",INDEX('N04-S04'!$AB$18:$AB$199,2*(ROWS(AB$134:AB146)-1)+1),""),"")</f>
        <v>0</v>
      </c>
      <c r="AC146" s="10">
        <f>IFERROR(IF(AI146&lt;&gt;"",ROUND(INDEX('N04-S04'!$BB$18:$BB$199,2*(ROWS(AC$134:AC146)-1)+1),3),""),"")</f>
        <v>0</v>
      </c>
      <c r="AD146" s="10">
        <f>IFERROR(IF(AI146&lt;&gt;"",ROUND(INDEX('N04-S04'!$BC$18:$BC$199,2*(ROWS(AD$134:AD146)-1)+1),3),""),"")</f>
        <v>0</v>
      </c>
      <c r="AE146" s="207"/>
      <c r="AF146" s="25">
        <f>IFERROR(IF(AI146&lt;&gt;"",INDEX('N04-S04'!$AK$18:$AK$199,2*(ROWS(AF$134:AF146)-1)+1),""),"")</f>
        <v>0</v>
      </c>
      <c r="AG146" s="31">
        <f>IFERROR(IF(AI146&lt;&gt;"",INDEX('N04-S04'!$BI$18:$BI$199,2*(ROWS(AG$134:AG146)-1)+1),""),"")</f>
        <v>0</v>
      </c>
      <c r="AH146" s="31">
        <f>IFERROR(IF(AI146&lt;&gt;"",INDEX('N04-S04'!$BH$18:$BH$199,2*(ROWS(AH$134:AH146)-1)+1),""),"")</f>
        <v>0</v>
      </c>
      <c r="AI146">
        <f>IFERROR(INDEX('N04-S04'!$BQ$18:$BQ$199,2*(ROWS(AI$134:AI146)-1)+1),"")</f>
        <v>0</v>
      </c>
      <c r="AJ146" s="25">
        <f>IFERROR(INDEX('N04-S04'!$BD$18:$BD$199,2*(ROWS(AJ$134:AJ146)-1)+1),"")</f>
        <v>0</v>
      </c>
      <c r="AK146" s="25">
        <f>IFERROR(INDEX('N04-S04'!$BE$18:$BE$199,2*(ROWS(AK$134:AK146)-1)+1),"")</f>
        <v>0</v>
      </c>
      <c r="AL146" s="207"/>
      <c r="AM146" s="207"/>
      <c r="AN146" s="207"/>
      <c r="AO146">
        <f>IFERROR(INDEX('N04-S04'!$B$18:$B$199,2*(ROWS(AO$134:AO146)-1)+1),"")</f>
        <v>0</v>
      </c>
      <c r="AP146" s="189"/>
      <c r="AQ146">
        <f>IFERROR(INDEX('N04-S04'!$C$18:$C$199,2*(ROWS(AQ$134:AQ146)-1)+1),"")</f>
        <v>0</v>
      </c>
      <c r="AR146">
        <f>IFERROR(INDEX('N04-S04'!$L$18:$L$199,2*(ROWS(AR$134:AR146)-1)+1),"")</f>
        <v>0</v>
      </c>
      <c r="AS146">
        <f>IFERROR(INDEX('N04-S04'!$T$18:$T$199,2*(ROWS(AS$134:AS146)-1)+1),"")</f>
        <v>0</v>
      </c>
      <c r="AT146" s="13">
        <f>IFERROR(INDEX('N04-S04'!$AY$18:$AY$199,2*(ROWS(AT$134:AT146)-1)+1),"")</f>
        <v>0</v>
      </c>
      <c r="AU146" s="13">
        <f>IFERROR(INDEX('N04-S04'!$AZ$18:$AZ$199,2*(ROWS(AU$134:AU146)-1)+1),"")</f>
        <v>0</v>
      </c>
      <c r="AV146">
        <f>IFERROR(INDEX('N04-S04'!$BA$18:$BA$199,2*(ROWS(AV$134:AV146)-1)+1),"")</f>
        <v>0</v>
      </c>
      <c r="AW146">
        <f>IFERROR(INDEX('N04-S04'!$BF$18:$BF$199,2*(ROWS(AW$134:AW146)-1)+1),"")</f>
        <v>0</v>
      </c>
      <c r="AX146" t="s">
        <v>820</v>
      </c>
      <c r="AY146" s="170"/>
      <c r="AZ146" s="170"/>
      <c r="BA146" s="170"/>
      <c r="BB146" s="170"/>
      <c r="BC146" s="170"/>
      <c r="BD146" s="170"/>
      <c r="BE146" s="170"/>
      <c r="BF146" s="170"/>
      <c r="BG146" s="170"/>
      <c r="BH146" s="170"/>
      <c r="BI146" s="170"/>
      <c r="BJ146" s="170"/>
      <c r="BK146" s="170"/>
    </row>
    <row r="147" spans="1:63">
      <c r="A147" s="14">
        <f t="shared" si="18"/>
        <v>0</v>
      </c>
      <c r="B147" t="str">
        <f t="shared" si="19"/>
        <v/>
      </c>
      <c r="C147" t="str">
        <f>IFERROR(IF(INDEX('N04-S04'!$BO$18:$BO$199,2*(ROWS($C$134:C147)-1)+1)="","",INDEX('N04-S04'!$BO$18:$BO$199,2*(ROWS($C$134:C147)-1)+1)),"")</f>
        <v/>
      </c>
      <c r="D147" t="s">
        <v>50</v>
      </c>
      <c r="E147" t="s">
        <v>38</v>
      </c>
      <c r="F147" t="s">
        <v>50</v>
      </c>
      <c r="G147">
        <f>IFERROR(INDEX('N04-S04'!$BG$18:$BG$199,2*(ROWS(G$134:G147)-1)+1),"")</f>
        <v>0</v>
      </c>
      <c r="H147" s="207"/>
      <c r="I147" s="189"/>
      <c r="J147" s="189"/>
      <c r="K147" s="189"/>
      <c r="L147" s="13" t="str">
        <f>IFERROR(ROUND(IF($AI147&lt;&gt;"","",INDEX('N04-S04'!$AE$18:$AE$199,2*(ROWS(L$134:L147)-1)+1)),2),"")</f>
        <v/>
      </c>
      <c r="N147" s="13" t="str">
        <f>IFERROR(ROUND(IF($AI147&lt;&gt;"","",INDEX('N04-S04'!$AH$18:$AH$199,2*(ROWS(N$134:N147)-1)+1)),2),"")</f>
        <v/>
      </c>
      <c r="O147" s="13" t="str">
        <f>IFERROR(ROUND(IF($AI147&lt;&gt;"","",INDEX('N04-S04'!$AB$18:$AB$199,2*(ROWS(O$134:O147)-1)+1)),2),"")</f>
        <v/>
      </c>
      <c r="P147" s="10" t="str">
        <f>IFERROR(IF(AI147&lt;&gt;"","",ROUND(INDEX('N04-S04'!$BB$18:$BB$199,2*(ROWS(P$134:P147)-1)+1),3)),"")</f>
        <v/>
      </c>
      <c r="Q147" s="10" t="str">
        <f>IFERROR(IF(AI147&lt;&gt;"","",ROUND(INDEX('N04-S04'!$BC$18:$BC$199,2*(ROWS(Q$134:Q147)-1)+1),3)),"")</f>
        <v/>
      </c>
      <c r="R147" s="207"/>
      <c r="S147" s="25" t="str">
        <f>IFERROR(IF(AI147&lt;&gt;"","",INDEX('N04-S04'!$AK$18:$AK$199,2*(ROWS(S$134:S147)-1)+1)),"")</f>
        <v/>
      </c>
      <c r="T147" s="31" t="str">
        <f>IFERROR(IF(AI147&lt;&gt;"","",INDEX('N04-S04'!$BI$18:$BI$199,2*(ROWS(T$134:T147)-1)+1)),"")</f>
        <v/>
      </c>
      <c r="U147" s="31" t="str">
        <f>IFERROR(IF(AI147&lt;&gt;"","",INDEX('N04-S04'!$BH$18:$BH$199,2*(ROWS(U$134:U147)-1)+1)),"")</f>
        <v/>
      </c>
      <c r="V147" s="13" t="str">
        <f>IFERROR(IF(AI147&lt;&gt;"","",INDEX('N04-S04'!$AN$18:$AN$199,2*(ROWS(V$134:V147)-1)+1)),"")</f>
        <v/>
      </c>
      <c r="W147" s="207"/>
      <c r="X147" s="207"/>
      <c r="Y147" s="13">
        <f>IFERROR(IF(AI147&lt;&gt;"",INDEX('N04-S04'!$AE$18:$AE$199,2*(ROWS(Y$134:Y147)-1)+1),""),"")</f>
        <v>0</v>
      </c>
      <c r="AA147" s="13">
        <f>IFERROR(IF($AI147&lt;&gt;"",INDEX('N04-S04'!$AH$18:$AH$199,2*(ROWS(AA$134:AA147)-1)+1),""),"")</f>
        <v>0</v>
      </c>
      <c r="AB147" s="13">
        <f>IFERROR(IF($AI147&lt;&gt;"",INDEX('N04-S04'!$AB$18:$AB$199,2*(ROWS(AB$134:AB147)-1)+1),""),"")</f>
        <v>0</v>
      </c>
      <c r="AC147" s="10">
        <f>IFERROR(IF(AI147&lt;&gt;"",ROUND(INDEX('N04-S04'!$BB$18:$BB$199,2*(ROWS(AC$134:AC147)-1)+1),3),""),"")</f>
        <v>0</v>
      </c>
      <c r="AD147" s="10">
        <f>IFERROR(IF(AI147&lt;&gt;"",ROUND(INDEX('N04-S04'!$BC$18:$BC$199,2*(ROWS(AD$134:AD147)-1)+1),3),""),"")</f>
        <v>0</v>
      </c>
      <c r="AE147" s="207"/>
      <c r="AF147" s="25">
        <f>IFERROR(IF(AI147&lt;&gt;"",INDEX('N04-S04'!$AK$18:$AK$199,2*(ROWS(AF$134:AF147)-1)+1),""),"")</f>
        <v>0</v>
      </c>
      <c r="AG147" s="31">
        <f>IFERROR(IF(AI147&lt;&gt;"",INDEX('N04-S04'!$BI$18:$BI$199,2*(ROWS(AG$134:AG147)-1)+1),""),"")</f>
        <v>0</v>
      </c>
      <c r="AH147" s="31">
        <f>IFERROR(IF(AI147&lt;&gt;"",INDEX('N04-S04'!$BH$18:$BH$199,2*(ROWS(AH$134:AH147)-1)+1),""),"")</f>
        <v>0</v>
      </c>
      <c r="AI147">
        <f>IFERROR(INDEX('N04-S04'!$BQ$18:$BQ$199,2*(ROWS(AI$134:AI147)-1)+1),"")</f>
        <v>0</v>
      </c>
      <c r="AJ147" s="25">
        <f>IFERROR(INDEX('N04-S04'!$BD$18:$BD$199,2*(ROWS(AJ$134:AJ147)-1)+1),"")</f>
        <v>0</v>
      </c>
      <c r="AK147" s="25">
        <f>IFERROR(INDEX('N04-S04'!$BE$18:$BE$199,2*(ROWS(AK$134:AK147)-1)+1),"")</f>
        <v>0</v>
      </c>
      <c r="AL147" s="207"/>
      <c r="AM147" s="207"/>
      <c r="AN147" s="207"/>
      <c r="AO147">
        <f>IFERROR(INDEX('N04-S04'!$B$18:$B$199,2*(ROWS(AO$134:AO147)-1)+1),"")</f>
        <v>0</v>
      </c>
      <c r="AP147" s="189"/>
      <c r="AQ147">
        <f>IFERROR(INDEX('N04-S04'!$C$18:$C$199,2*(ROWS(AQ$134:AQ147)-1)+1),"")</f>
        <v>0</v>
      </c>
      <c r="AR147">
        <f>IFERROR(INDEX('N04-S04'!$L$18:$L$199,2*(ROWS(AR$134:AR147)-1)+1),"")</f>
        <v>0</v>
      </c>
      <c r="AS147">
        <f>IFERROR(INDEX('N04-S04'!$T$18:$T$199,2*(ROWS(AS$134:AS147)-1)+1),"")</f>
        <v>0</v>
      </c>
      <c r="AT147" s="13">
        <f>IFERROR(INDEX('N04-S04'!$AY$18:$AY$199,2*(ROWS(AT$134:AT147)-1)+1),"")</f>
        <v>0</v>
      </c>
      <c r="AU147" s="13">
        <f>IFERROR(INDEX('N04-S04'!$AZ$18:$AZ$199,2*(ROWS(AU$134:AU147)-1)+1),"")</f>
        <v>0</v>
      </c>
      <c r="AV147">
        <f>IFERROR(INDEX('N04-S04'!$BA$18:$BA$199,2*(ROWS(AV$134:AV147)-1)+1),"")</f>
        <v>0</v>
      </c>
      <c r="AW147">
        <f>IFERROR(INDEX('N04-S04'!$BF$18:$BF$199,2*(ROWS(AW$134:AW147)-1)+1),"")</f>
        <v>0</v>
      </c>
      <c r="AX147" t="s">
        <v>820</v>
      </c>
      <c r="AY147" s="170"/>
      <c r="AZ147" s="170"/>
      <c r="BA147" s="170"/>
      <c r="BB147" s="170"/>
      <c r="BC147" s="170"/>
      <c r="BD147" s="170"/>
      <c r="BE147" s="170"/>
      <c r="BF147" s="170"/>
      <c r="BG147" s="170"/>
      <c r="BH147" s="170"/>
      <c r="BI147" s="170"/>
      <c r="BJ147" s="170"/>
      <c r="BK147" s="170"/>
    </row>
    <row r="148" spans="1:63" ht="14.25" customHeight="1">
      <c r="A148" s="14">
        <f t="shared" si="18"/>
        <v>0</v>
      </c>
      <c r="B148" t="str">
        <f t="shared" si="19"/>
        <v/>
      </c>
      <c r="C148" t="str">
        <f>IFERROR(IF(INDEX('N04-S04'!$BO$18:$BO$199,2*(ROWS($C$134:C148)-1)+1)="","",INDEX('N04-S04'!$BO$18:$BO$199,2*(ROWS($C$134:C148)-1)+1)),"")</f>
        <v/>
      </c>
      <c r="D148" t="s">
        <v>50</v>
      </c>
      <c r="E148" t="s">
        <v>38</v>
      </c>
      <c r="F148" t="s">
        <v>50</v>
      </c>
      <c r="G148">
        <f>IFERROR(INDEX('N04-S04'!$BG$18:$BG$199,2*(ROWS(G$134:G148)-1)+1),"")</f>
        <v>0</v>
      </c>
      <c r="H148" s="207"/>
      <c r="I148" s="189"/>
      <c r="J148" s="189"/>
      <c r="K148" s="189"/>
      <c r="L148" s="13" t="str">
        <f>IFERROR(ROUND(IF($AI148&lt;&gt;"","",INDEX('N04-S04'!$AE$18:$AE$199,2*(ROWS(L$134:L148)-1)+1)),2),"")</f>
        <v/>
      </c>
      <c r="N148" s="13" t="str">
        <f>IFERROR(ROUND(IF($AI148&lt;&gt;"","",INDEX('N04-S04'!$AH$18:$AH$199,2*(ROWS(N$134:N148)-1)+1)),2),"")</f>
        <v/>
      </c>
      <c r="O148" s="13" t="str">
        <f>IFERROR(ROUND(IF($AI148&lt;&gt;"","",INDEX('N04-S04'!$AB$18:$AB$199,2*(ROWS(O$134:O148)-1)+1)),2),"")</f>
        <v/>
      </c>
      <c r="P148" s="10" t="str">
        <f>IFERROR(IF(AI148&lt;&gt;"","",ROUND(INDEX('N04-S04'!$BB$18:$BB$199,2*(ROWS(P$134:P148)-1)+1),3)),"")</f>
        <v/>
      </c>
      <c r="Q148" s="10" t="str">
        <f>IFERROR(IF(AI148&lt;&gt;"","",ROUND(INDEX('N04-S04'!$BC$18:$BC$199,2*(ROWS(Q$134:Q148)-1)+1),3)),"")</f>
        <v/>
      </c>
      <c r="R148" s="207"/>
      <c r="S148" s="25" t="str">
        <f>IFERROR(IF(AI148&lt;&gt;"","",INDEX('N04-S04'!$AK$18:$AK$199,2*(ROWS(S$134:S148)-1)+1)),"")</f>
        <v/>
      </c>
      <c r="T148" s="31" t="str">
        <f>IFERROR(IF(AI148&lt;&gt;"","",INDEX('N04-S04'!$BI$18:$BI$199,2*(ROWS(T$134:T148)-1)+1)),"")</f>
        <v/>
      </c>
      <c r="U148" s="31" t="str">
        <f>IFERROR(IF(AI148&lt;&gt;"","",INDEX('N04-S04'!$BH$18:$BH$199,2*(ROWS(U$134:U148)-1)+1)),"")</f>
        <v/>
      </c>
      <c r="V148" s="13" t="str">
        <f>IFERROR(IF(AI148&lt;&gt;"","",INDEX('N04-S04'!$AN$18:$AN$199,2*(ROWS(V$134:V148)-1)+1)),"")</f>
        <v/>
      </c>
      <c r="W148" s="207"/>
      <c r="X148" s="207"/>
      <c r="Y148" s="13">
        <f>IFERROR(IF(AI148&lt;&gt;"",INDEX('N04-S04'!$AE$18:$AE$199,2*(ROWS(Y$134:Y148)-1)+1),""),"")</f>
        <v>0</v>
      </c>
      <c r="AA148" s="13">
        <f>IFERROR(IF($AI148&lt;&gt;"",INDEX('N04-S04'!$AH$18:$AH$199,2*(ROWS(AA$134:AA148)-1)+1),""),"")</f>
        <v>0</v>
      </c>
      <c r="AB148" s="13">
        <f>IFERROR(IF($AI148&lt;&gt;"",INDEX('N04-S04'!$AB$18:$AB$199,2*(ROWS(AB$134:AB148)-1)+1),""),"")</f>
        <v>0</v>
      </c>
      <c r="AC148" s="10">
        <f>IFERROR(IF(AI148&lt;&gt;"",ROUND(INDEX('N04-S04'!$BB$18:$BB$199,2*(ROWS(AC$134:AC148)-1)+1),3),""),"")</f>
        <v>0</v>
      </c>
      <c r="AD148" s="10">
        <f>IFERROR(IF(AI148&lt;&gt;"",ROUND(INDEX('N04-S04'!$BC$18:$BC$199,2*(ROWS(AD$134:AD148)-1)+1),3),""),"")</f>
        <v>0</v>
      </c>
      <c r="AE148" s="207"/>
      <c r="AF148" s="25">
        <f>IFERROR(IF(AI148&lt;&gt;"",INDEX('N04-S04'!$AK$18:$AK$199,2*(ROWS(AF$134:AF148)-1)+1),""),"")</f>
        <v>0</v>
      </c>
      <c r="AG148" s="31">
        <f>IFERROR(IF(AI148&lt;&gt;"",INDEX('N04-S04'!$BI$18:$BI$199,2*(ROWS(AG$134:AG148)-1)+1),""),"")</f>
        <v>0</v>
      </c>
      <c r="AH148" s="31">
        <f>IFERROR(IF(AI148&lt;&gt;"",INDEX('N04-S04'!$BH$18:$BH$199,2*(ROWS(AH$134:AH148)-1)+1),""),"")</f>
        <v>0</v>
      </c>
      <c r="AI148">
        <f>IFERROR(INDEX('N04-S04'!$BQ$18:$BQ$199,2*(ROWS(AI$134:AI148)-1)+1),"")</f>
        <v>0</v>
      </c>
      <c r="AJ148" s="25">
        <f>IFERROR(INDEX('N04-S04'!$BD$18:$BD$199,2*(ROWS(AJ$134:AJ148)-1)+1),"")</f>
        <v>0</v>
      </c>
      <c r="AK148" s="25">
        <f>IFERROR(INDEX('N04-S04'!$BE$18:$BE$199,2*(ROWS(AK$134:AK148)-1)+1),"")</f>
        <v>0</v>
      </c>
      <c r="AL148" s="207"/>
      <c r="AM148" s="207"/>
      <c r="AN148" s="207"/>
      <c r="AO148">
        <f>IFERROR(INDEX('N04-S04'!$B$18:$B$199,2*(ROWS(AO$134:AO148)-1)+1),"")</f>
        <v>0</v>
      </c>
      <c r="AP148" s="189"/>
      <c r="AQ148">
        <f>IFERROR(INDEX('N04-S04'!$C$18:$C$199,2*(ROWS(AQ$134:AQ148)-1)+1),"")</f>
        <v>0</v>
      </c>
      <c r="AR148">
        <f>IFERROR(INDEX('N04-S04'!$L$18:$L$199,2*(ROWS(AR$134:AR148)-1)+1),"")</f>
        <v>0</v>
      </c>
      <c r="AS148">
        <f>IFERROR(INDEX('N04-S04'!$T$18:$T$199,2*(ROWS(AS$134:AS148)-1)+1),"")</f>
        <v>0</v>
      </c>
      <c r="AT148" s="13">
        <f>IFERROR(INDEX('N04-S04'!$AY$18:$AY$199,2*(ROWS(AT$134:AT148)-1)+1),"")</f>
        <v>0</v>
      </c>
      <c r="AU148" s="13">
        <f>IFERROR(INDEX('N04-S04'!$AZ$18:$AZ$199,2*(ROWS(AU$134:AU148)-1)+1),"")</f>
        <v>0</v>
      </c>
      <c r="AV148">
        <f>IFERROR(INDEX('N04-S04'!$BA$18:$BA$199,2*(ROWS(AV$134:AV148)-1)+1),"")</f>
        <v>0</v>
      </c>
      <c r="AW148">
        <f>IFERROR(INDEX('N04-S04'!$BF$18:$BF$199,2*(ROWS(AW$134:AW148)-1)+1),"")</f>
        <v>0</v>
      </c>
      <c r="AX148" t="s">
        <v>820</v>
      </c>
      <c r="AY148" s="170"/>
      <c r="AZ148" s="170"/>
      <c r="BA148" s="170"/>
      <c r="BB148" s="170"/>
      <c r="BC148" s="170"/>
      <c r="BD148" s="170"/>
      <c r="BE148" s="170"/>
      <c r="BF148" s="170"/>
      <c r="BG148" s="170"/>
      <c r="BH148" s="170"/>
      <c r="BI148" s="170"/>
      <c r="BJ148" s="170"/>
      <c r="BK148" s="170"/>
    </row>
    <row r="149" spans="1:63">
      <c r="A149" s="223" t="str">
        <f>"Custom "&amp;N4S5</f>
        <v>Custom Water Heating / Food Services</v>
      </c>
      <c r="B149" s="30"/>
      <c r="C149" s="30"/>
      <c r="D149" s="30"/>
      <c r="E149" s="30"/>
      <c r="F149" s="30"/>
      <c r="G149" s="30"/>
      <c r="H149" s="208"/>
      <c r="I149" s="30"/>
      <c r="J149" s="203"/>
      <c r="K149" s="203"/>
      <c r="L149" s="203"/>
      <c r="M149" s="30"/>
      <c r="N149" s="30"/>
      <c r="O149" s="30"/>
      <c r="P149" s="211"/>
      <c r="Q149" s="211"/>
      <c r="R149" s="208"/>
      <c r="S149" s="208"/>
      <c r="T149" s="214"/>
      <c r="U149" s="214"/>
      <c r="V149" s="203"/>
      <c r="W149" s="203"/>
      <c r="X149" s="203"/>
      <c r="Y149" s="203"/>
      <c r="Z149" s="30"/>
      <c r="AA149" s="30"/>
      <c r="AB149" s="30"/>
      <c r="AC149" s="211"/>
      <c r="AD149" s="211"/>
      <c r="AE149" s="208"/>
      <c r="AF149" s="208"/>
      <c r="AG149" s="214"/>
      <c r="AH149" s="214"/>
      <c r="AI149" s="30"/>
      <c r="AJ149" s="208"/>
      <c r="AK149" s="208"/>
      <c r="AL149" s="208"/>
      <c r="AM149" s="208"/>
      <c r="AN149" s="208"/>
      <c r="AO149" s="30"/>
      <c r="AP149" s="30"/>
      <c r="AQ149" s="100"/>
      <c r="AR149" s="30"/>
      <c r="AS149" s="30"/>
      <c r="AT149" s="203"/>
      <c r="AU149" s="203"/>
      <c r="AV149" s="30"/>
      <c r="AW149" s="30"/>
      <c r="AX149" s="30"/>
      <c r="AY149" s="170"/>
      <c r="AZ149" s="170"/>
      <c r="BA149" s="170"/>
      <c r="BB149" s="170"/>
      <c r="BC149" s="170"/>
      <c r="BD149" s="170"/>
      <c r="BE149" s="170"/>
      <c r="BF149" s="170"/>
      <c r="BG149" s="170"/>
      <c r="BH149" s="170"/>
      <c r="BI149" s="170"/>
      <c r="BJ149" s="170"/>
      <c r="BK149" s="170"/>
    </row>
    <row r="150" spans="1:63">
      <c r="A150" s="14">
        <f t="shared" ref="A150:A164" si="20">PROJID_N</f>
        <v>0</v>
      </c>
      <c r="B150" t="str">
        <f>IF(C150="","",CONCATENATE(ROW(),"-",C150))</f>
        <v/>
      </c>
      <c r="C150" t="str">
        <f>IFERROR(IF(INDEX('N04-S05'!$BO$18:$BO$199,2*(ROWS($C$150:C150)-1)+1)="","",INDEX('N04-S05'!$BO$18:$BO$199,2*(ROWS($C$150:C150)-1)+1)),"")</f>
        <v/>
      </c>
      <c r="D150" t="s">
        <v>50</v>
      </c>
      <c r="E150" t="s">
        <v>38</v>
      </c>
      <c r="F150" t="s">
        <v>50</v>
      </c>
      <c r="G150" t="str">
        <f>IFERROR(INDEX('N04-S05'!$BG$18:$BG$199,2*(ROWS(G$150:G150)-1)+1),"")</f>
        <v/>
      </c>
      <c r="H150" s="207"/>
      <c r="I150" s="189"/>
      <c r="J150" s="189"/>
      <c r="K150" s="189"/>
      <c r="L150" s="13" t="str">
        <f ca="1">IFERROR(ROUND(IF($AI150&lt;&gt;"","",INDEX('N04-S05'!$AE$18:$AE$199,2*(ROWS(L$150:L150)-1)+1)),2),"")</f>
        <v/>
      </c>
      <c r="N150" s="13" t="str">
        <f ca="1">IFERROR(ROUND(IF($AI150&lt;&gt;"","",INDEX('N04-S05'!$AH$18:$AH$199,2*(ROWS(N$150:N150)-1)+1)),2),"")</f>
        <v/>
      </c>
      <c r="O150" s="13" t="str">
        <f ca="1">IFERROR(ROUND(IF($AI150&lt;&gt;"","",INDEX('N04-S05'!$AB$18:$AB$199,2*(ROWS(O$150:O150)-1)+1)),2),"")</f>
        <v/>
      </c>
      <c r="P150" s="10" t="str">
        <f ca="1">IFERROR(IF(AI150&lt;&gt;"","",ROUND(INDEX('N04-S05'!$BB$18:$BB$199,2*(ROWS(P$150:P150)-1)+1),3)),"")</f>
        <v/>
      </c>
      <c r="Q150" s="10" t="str">
        <f ca="1">IFERROR(IF(AI150&lt;&gt;"","",ROUND(INDEX('N04-S05'!$BC$18:$BC$199,2*(ROWS(Q$150:Q150)-1)+1),3)),"")</f>
        <v/>
      </c>
      <c r="R150" s="207"/>
      <c r="S150" s="25" t="str">
        <f ca="1">IFERROR(IF(AI150&lt;&gt;"","",INDEX('N04-S05'!$AK$18:$AK$199,2*(ROWS(S$150:S150)-1)+1)),"")</f>
        <v/>
      </c>
      <c r="T150" s="31" t="str">
        <f ca="1">IFERROR(IF(AI150&lt;&gt;"","",INDEX('N04-S05'!$BI$18:$BI$199,2*(ROWS(T$150:T150)-1)+1)),"")</f>
        <v/>
      </c>
      <c r="U150" s="31" t="str">
        <f ca="1">IFERROR(IF(AI150&lt;&gt;"","",INDEX('N04-S05'!$BH$18:$BH$199,2*(ROWS(U$150:U150)-1)+1)),"")</f>
        <v/>
      </c>
      <c r="V150" s="13" t="str">
        <f ca="1">IFERROR(IF(AI150&lt;&gt;"","",INDEX('N04-S05'!$AN$18:$AN$199,2*(ROWS(V$150:V150)-1)+1)),"")</f>
        <v/>
      </c>
      <c r="W150" s="207"/>
      <c r="X150" s="207"/>
      <c r="Y150" s="13">
        <f ca="1">IFERROR(IF(AI150&lt;&gt;"",INDEX('N04-S05'!$AE$18:$AE$199,2*(ROWS(Y$150:Y150)-1)+1),""),"")</f>
        <v>0</v>
      </c>
      <c r="AA150" s="13" t="str">
        <f ca="1">IFERROR(IF($AI150&lt;&gt;"",INDEX('N04-S05'!$AH$18:$AH$199,2*(ROWS(AA$150:AA150)-1)+1),""),"")</f>
        <v/>
      </c>
      <c r="AB150" s="13">
        <f ca="1">IFERROR(IF($AI150&lt;&gt;"",INDEX('N04-S05'!$AB$18:$AB$199,2*(ROWS(AB$150:AB150)-1)+1),""),"")</f>
        <v>0</v>
      </c>
      <c r="AC150" s="10" t="str">
        <f ca="1">IFERROR(IF(AI150&lt;&gt;"",ROUND(INDEX('N04-S05'!$BB$18:$BB$199,2*(ROWS(AC$150:AC150)-1)+1),3),""),"")</f>
        <v/>
      </c>
      <c r="AD150" s="10" t="str">
        <f ca="1">IFERROR(IF(AI150&lt;&gt;"",ROUND(INDEX('N04-S05'!$BC$18:$BC$199,2*(ROWS(AD$150:AD150)-1)+1),3),""),"")</f>
        <v/>
      </c>
      <c r="AE150" s="207"/>
      <c r="AF150" s="25" t="str">
        <f ca="1">IFERROR(IF(AI150&lt;&gt;"",INDEX('N04-S05'!$AK$18:$AK$199,2*(ROWS(AF$150:AF150)-1)+1),""),"")</f>
        <v/>
      </c>
      <c r="AG150" s="31">
        <f ca="1">IFERROR(IF(AI150&lt;&gt;"",INDEX('N04-S05'!$BI$18:$BI$199,2*(ROWS(AG$150:AG150)-1)+1),""),"")</f>
        <v>0</v>
      </c>
      <c r="AH150" s="31" t="str">
        <f ca="1">IFERROR(IF(AI150&lt;&gt;"",INDEX('N04-S05'!$BH$18:$BH$199,2*(ROWS(AH$150:AH150)-1)+1),""),"")</f>
        <v/>
      </c>
      <c r="AI150" t="str">
        <f ca="1">IFERROR(INDEX('N04-S05'!$BQ$18:$BQ$199,2*(ROWS(AI$150:AI150)-1)+1),"")</f>
        <v>Submit for Review</v>
      </c>
      <c r="AJ150" s="25" t="str">
        <f>IFERROR(INDEX('N04-S05'!$BD$18:$BD$199,2*(ROWS(AJ$150:AJ150)-1)+1),"")</f>
        <v/>
      </c>
      <c r="AK150" s="25" t="str">
        <f>IFERROR(INDEX('N04-S05'!$BE$18:$BE$199,2*(ROWS(AK$150:AK150)-1)+1),"")</f>
        <v/>
      </c>
      <c r="AL150" s="207"/>
      <c r="AM150" s="207"/>
      <c r="AN150" s="207"/>
      <c r="AO150">
        <f>IFERROR(INDEX('N04-S05'!$B$18:$B$199,2*(ROWS(AO$150:AO150)-1)+1),"")</f>
        <v>1</v>
      </c>
      <c r="AP150" s="189"/>
      <c r="AQ150">
        <f>IFERROR(INDEX('N04-S05'!$C$18:$C$199,2*(ROWS(AQ$150:AQ150)-1)+1),"")</f>
        <v>0</v>
      </c>
      <c r="AR150">
        <f>IFERROR(INDEX('N04-S05'!$L$18:$L$199,2*(ROWS(AR$150:AR150)-1)+1),"")</f>
        <v>0</v>
      </c>
      <c r="AS150">
        <f>IFERROR(INDEX('N04-S05'!$T$18:$T$199,2*(ROWS(AS$150:AS150)-1)+1),"")</f>
        <v>0</v>
      </c>
      <c r="AT150" s="13" t="str">
        <f>IFERROR(INDEX('N04-S05'!$AY$18:$AY$199,2*(ROWS(AT$150:AT150)-1)+1),"")</f>
        <v/>
      </c>
      <c r="AU150" s="13" t="str">
        <f>IFERROR(INDEX('N04-S05'!$AZ$18:$AZ$199,2*(ROWS(AU$150:AU150)-1)+1),"")</f>
        <v/>
      </c>
      <c r="AV150" t="str">
        <f>IFERROR(INDEX('N04-S05'!$BA$18:$BA$199,2*(ROWS(AV$150:AV150)-1)+1),"")</f>
        <v/>
      </c>
      <c r="AW150" t="str">
        <f>IFERROR(INDEX('N04-S05'!$BF$18:$BF$199,2*(ROWS(AW$150:AW150)-1)+1),"")</f>
        <v/>
      </c>
      <c r="AX150" t="s">
        <v>820</v>
      </c>
      <c r="AY150" s="170"/>
      <c r="AZ150" s="170"/>
      <c r="BA150" s="170"/>
      <c r="BB150" s="170"/>
      <c r="BC150" s="170"/>
      <c r="BD150" s="170"/>
      <c r="BE150" s="170"/>
      <c r="BF150" s="170"/>
      <c r="BG150" s="170"/>
      <c r="BH150" s="170"/>
      <c r="BI150" s="170"/>
      <c r="BJ150" s="170"/>
      <c r="BK150" s="170"/>
    </row>
    <row r="151" spans="1:63">
      <c r="A151" s="14">
        <f t="shared" si="20"/>
        <v>0</v>
      </c>
      <c r="B151" t="str">
        <f t="shared" ref="B151:B164" si="21">IF(C151="","",CONCATENATE(ROW(),"-",C151))</f>
        <v/>
      </c>
      <c r="C151" t="str">
        <f>IFERROR(IF(INDEX('N04-S05'!$BO$18:$BO$199,2*(ROWS($C$150:C151)-1)+1)="","",INDEX('N04-S05'!$BO$18:$BO$199,2*(ROWS($C$150:C151)-1)+1)),"")</f>
        <v/>
      </c>
      <c r="D151" t="s">
        <v>50</v>
      </c>
      <c r="E151" t="s">
        <v>38</v>
      </c>
      <c r="F151" t="s">
        <v>50</v>
      </c>
      <c r="G151" t="str">
        <f>IFERROR(INDEX('N04-S05'!$BG$18:$BG$199,2*(ROWS(G$150:G151)-1)+1),"")</f>
        <v/>
      </c>
      <c r="H151" s="207"/>
      <c r="I151" s="189"/>
      <c r="J151" s="189"/>
      <c r="K151" s="189"/>
      <c r="L151" s="13" t="str">
        <f ca="1">IFERROR(ROUND(IF($AI151&lt;&gt;"","",INDEX('N04-S05'!$AE$18:$AE$199,2*(ROWS(L$150:L151)-1)+1)),2),"")</f>
        <v/>
      </c>
      <c r="N151" s="13" t="str">
        <f ca="1">IFERROR(ROUND(IF($AI151&lt;&gt;"","",INDEX('N04-S05'!$AH$18:$AH$199,2*(ROWS(N$150:N151)-1)+1)),2),"")</f>
        <v/>
      </c>
      <c r="O151" s="13" t="str">
        <f ca="1">IFERROR(ROUND(IF($AI151&lt;&gt;"","",INDEX('N04-S05'!$AB$18:$AB$199,2*(ROWS(O$150:O151)-1)+1)),2),"")</f>
        <v/>
      </c>
      <c r="P151" s="10" t="str">
        <f ca="1">IFERROR(IF(AI151&lt;&gt;"","",ROUND(INDEX('N04-S05'!$BB$18:$BB$199,2*(ROWS(P$150:P151)-1)+1),3)),"")</f>
        <v/>
      </c>
      <c r="Q151" s="10" t="str">
        <f ca="1">IFERROR(IF(AI151&lt;&gt;"","",ROUND(INDEX('N04-S05'!$BC$18:$BC$199,2*(ROWS(Q$150:Q151)-1)+1),3)),"")</f>
        <v/>
      </c>
      <c r="R151" s="207"/>
      <c r="S151" s="25" t="str">
        <f ca="1">IFERROR(IF(AI151&lt;&gt;"","",INDEX('N04-S05'!$AK$18:$AK$199,2*(ROWS(S$150:S151)-1)+1)),"")</f>
        <v/>
      </c>
      <c r="T151" s="31" t="str">
        <f ca="1">IFERROR(IF(AI151&lt;&gt;"","",INDEX('N04-S05'!$BI$18:$BI$199,2*(ROWS(T$150:T151)-1)+1)),"")</f>
        <v/>
      </c>
      <c r="U151" s="31" t="str">
        <f ca="1">IFERROR(IF(AI151&lt;&gt;"","",INDEX('N04-S05'!$BH$18:$BH$199,2*(ROWS(U$150:U151)-1)+1)),"")</f>
        <v/>
      </c>
      <c r="V151" s="13" t="str">
        <f ca="1">IFERROR(IF(AI151&lt;&gt;"","",INDEX('N04-S05'!$AN$18:$AN$199,2*(ROWS(V$150:V151)-1)+1)),"")</f>
        <v/>
      </c>
      <c r="W151" s="207"/>
      <c r="X151" s="207"/>
      <c r="Y151" s="13">
        <f ca="1">IFERROR(IF(AI151&lt;&gt;"",INDEX('N04-S05'!$AE$18:$AE$199,2*(ROWS(Y$150:Y151)-1)+1),""),"")</f>
        <v>0</v>
      </c>
      <c r="AA151" s="13" t="str">
        <f ca="1">IFERROR(IF($AI151&lt;&gt;"",INDEX('N04-S05'!$AH$18:$AH$199,2*(ROWS(AA$150:AA151)-1)+1),""),"")</f>
        <v/>
      </c>
      <c r="AB151" s="13">
        <f ca="1">IFERROR(IF($AI151&lt;&gt;"",INDEX('N04-S05'!$AB$18:$AB$199,2*(ROWS(AB$150:AB151)-1)+1),""),"")</f>
        <v>0</v>
      </c>
      <c r="AC151" s="10" t="str">
        <f ca="1">IFERROR(IF(AI151&lt;&gt;"",ROUND(INDEX('N04-S05'!$BB$18:$BB$199,2*(ROWS(AC$150:AC151)-1)+1),3),""),"")</f>
        <v/>
      </c>
      <c r="AD151" s="10" t="str">
        <f ca="1">IFERROR(IF(AI151&lt;&gt;"",ROUND(INDEX('N04-S05'!$BC$18:$BC$199,2*(ROWS(AD$150:AD151)-1)+1),3),""),"")</f>
        <v/>
      </c>
      <c r="AE151" s="207"/>
      <c r="AF151" s="25" t="str">
        <f ca="1">IFERROR(IF(AI151&lt;&gt;"",INDEX('N04-S05'!$AK$18:$AK$199,2*(ROWS(AF$150:AF151)-1)+1),""),"")</f>
        <v/>
      </c>
      <c r="AG151" s="31">
        <f ca="1">IFERROR(IF(AI151&lt;&gt;"",INDEX('N04-S05'!$BI$18:$BI$199,2*(ROWS(AG$150:AG151)-1)+1),""),"")</f>
        <v>0</v>
      </c>
      <c r="AH151" s="31" t="str">
        <f ca="1">IFERROR(IF(AI151&lt;&gt;"",INDEX('N04-S05'!$BH$18:$BH$199,2*(ROWS(AH$150:AH151)-1)+1),""),"")</f>
        <v/>
      </c>
      <c r="AI151" t="str">
        <f ca="1">IFERROR(INDEX('N04-S05'!$BQ$18:$BQ$199,2*(ROWS(AI$150:AI151)-1)+1),"")</f>
        <v>Submit for Review</v>
      </c>
      <c r="AJ151" s="25" t="str">
        <f>IFERROR(INDEX('N04-S05'!$BD$18:$BD$199,2*(ROWS(AJ$150:AJ151)-1)+1),"")</f>
        <v/>
      </c>
      <c r="AK151" s="25" t="str">
        <f>IFERROR(INDEX('N04-S05'!$BE$18:$BE$199,2*(ROWS(AK$150:AK151)-1)+1),"")</f>
        <v/>
      </c>
      <c r="AL151" s="207"/>
      <c r="AM151" s="207"/>
      <c r="AN151" s="207"/>
      <c r="AO151">
        <f>IFERROR(INDEX('N04-S05'!$B$18:$B$199,2*(ROWS(AO$150:AO151)-1)+1),"")</f>
        <v>2</v>
      </c>
      <c r="AP151" s="189"/>
      <c r="AQ151">
        <f>IFERROR(INDEX('N04-S05'!$C$18:$C$199,2*(ROWS(AQ$150:AQ151)-1)+1),"")</f>
        <v>0</v>
      </c>
      <c r="AR151">
        <f>IFERROR(INDEX('N04-S05'!$L$18:$L$199,2*(ROWS(AR$150:AR151)-1)+1),"")</f>
        <v>0</v>
      </c>
      <c r="AS151">
        <f>IFERROR(INDEX('N04-S05'!$T$18:$T$199,2*(ROWS(AS$150:AS151)-1)+1),"")</f>
        <v>0</v>
      </c>
      <c r="AT151" s="13" t="str">
        <f>IFERROR(INDEX('N04-S05'!$AY$18:$AY$199,2*(ROWS(AT$150:AT151)-1)+1),"")</f>
        <v/>
      </c>
      <c r="AU151" s="13" t="str">
        <f>IFERROR(INDEX('N04-S05'!$AZ$18:$AZ$199,2*(ROWS(AU$150:AU151)-1)+1),"")</f>
        <v/>
      </c>
      <c r="AV151" t="str">
        <f>IFERROR(INDEX('N04-S05'!$BA$18:$BA$199,2*(ROWS(AV$150:AV151)-1)+1),"")</f>
        <v/>
      </c>
      <c r="AW151" t="str">
        <f>IFERROR(INDEX('N04-S05'!$BF$18:$BF$199,2*(ROWS(AW$150:AW151)-1)+1),"")</f>
        <v/>
      </c>
      <c r="AX151" t="s">
        <v>820</v>
      </c>
      <c r="AY151" s="170"/>
      <c r="AZ151" s="170"/>
      <c r="BA151" s="170"/>
      <c r="BB151" s="170"/>
      <c r="BC151" s="170"/>
      <c r="BD151" s="170"/>
      <c r="BE151" s="170"/>
      <c r="BF151" s="170"/>
      <c r="BG151" s="170"/>
      <c r="BH151" s="170"/>
      <c r="BI151" s="170"/>
      <c r="BJ151" s="170"/>
      <c r="BK151" s="170"/>
    </row>
    <row r="152" spans="1:63">
      <c r="A152" s="14">
        <f t="shared" si="20"/>
        <v>0</v>
      </c>
      <c r="B152" t="str">
        <f t="shared" si="21"/>
        <v/>
      </c>
      <c r="C152" t="str">
        <f>IFERROR(IF(INDEX('N04-S05'!$BO$18:$BO$199,2*(ROWS($C$150:C152)-1)+1)="","",INDEX('N04-S05'!$BO$18:$BO$199,2*(ROWS($C$150:C152)-1)+1)),"")</f>
        <v/>
      </c>
      <c r="D152" t="s">
        <v>50</v>
      </c>
      <c r="E152" t="s">
        <v>38</v>
      </c>
      <c r="F152" t="s">
        <v>50</v>
      </c>
      <c r="G152" t="str">
        <f>IFERROR(INDEX('N04-S05'!$BG$18:$BG$199,2*(ROWS(G$150:G152)-1)+1),"")</f>
        <v/>
      </c>
      <c r="H152" s="207"/>
      <c r="I152" s="189"/>
      <c r="J152" s="189"/>
      <c r="K152" s="189"/>
      <c r="L152" s="13" t="str">
        <f ca="1">IFERROR(ROUND(IF($AI152&lt;&gt;"","",INDEX('N04-S05'!$AE$18:$AE$199,2*(ROWS(L$150:L152)-1)+1)),2),"")</f>
        <v/>
      </c>
      <c r="N152" s="13" t="str">
        <f ca="1">IFERROR(ROUND(IF($AI152&lt;&gt;"","",INDEX('N04-S05'!$AH$18:$AH$199,2*(ROWS(N$150:N152)-1)+1)),2),"")</f>
        <v/>
      </c>
      <c r="O152" s="13" t="str">
        <f ca="1">IFERROR(ROUND(IF($AI152&lt;&gt;"","",INDEX('N04-S05'!$AB$18:$AB$199,2*(ROWS(O$150:O152)-1)+1)),2),"")</f>
        <v/>
      </c>
      <c r="P152" s="10" t="str">
        <f ca="1">IFERROR(IF(AI152&lt;&gt;"","",ROUND(INDEX('N04-S05'!$BB$18:$BB$199,2*(ROWS(P$150:P152)-1)+1),3)),"")</f>
        <v/>
      </c>
      <c r="Q152" s="10" t="str">
        <f ca="1">IFERROR(IF(AI152&lt;&gt;"","",ROUND(INDEX('N04-S05'!$BC$18:$BC$199,2*(ROWS(Q$150:Q152)-1)+1),3)),"")</f>
        <v/>
      </c>
      <c r="R152" s="207"/>
      <c r="S152" s="25" t="str">
        <f ca="1">IFERROR(IF(AI152&lt;&gt;"","",INDEX('N04-S05'!$AK$18:$AK$199,2*(ROWS(S$150:S152)-1)+1)),"")</f>
        <v/>
      </c>
      <c r="T152" s="31" t="str">
        <f ca="1">IFERROR(IF(AI152&lt;&gt;"","",INDEX('N04-S05'!$BI$18:$BI$199,2*(ROWS(T$150:T152)-1)+1)),"")</f>
        <v/>
      </c>
      <c r="U152" s="31" t="str">
        <f ca="1">IFERROR(IF(AI152&lt;&gt;"","",INDEX('N04-S05'!$BH$18:$BH$199,2*(ROWS(U$150:U152)-1)+1)),"")</f>
        <v/>
      </c>
      <c r="V152" s="13" t="str">
        <f ca="1">IFERROR(IF(AI152&lt;&gt;"","",INDEX('N04-S05'!$AN$18:$AN$199,2*(ROWS(V$150:V152)-1)+1)),"")</f>
        <v/>
      </c>
      <c r="W152" s="207"/>
      <c r="X152" s="207"/>
      <c r="Y152" s="13">
        <f ca="1">IFERROR(IF(AI152&lt;&gt;"",INDEX('N04-S05'!$AE$18:$AE$199,2*(ROWS(Y$150:Y152)-1)+1),""),"")</f>
        <v>0</v>
      </c>
      <c r="AA152" s="13" t="str">
        <f ca="1">IFERROR(IF($AI152&lt;&gt;"",INDEX('N04-S05'!$AH$18:$AH$199,2*(ROWS(AA$150:AA152)-1)+1),""),"")</f>
        <v/>
      </c>
      <c r="AB152" s="13">
        <f ca="1">IFERROR(IF($AI152&lt;&gt;"",INDEX('N04-S05'!$AB$18:$AB$199,2*(ROWS(AB$150:AB152)-1)+1),""),"")</f>
        <v>0</v>
      </c>
      <c r="AC152" s="10" t="str">
        <f ca="1">IFERROR(IF(AI152&lt;&gt;"",ROUND(INDEX('N04-S05'!$BB$18:$BB$199,2*(ROWS(AC$150:AC152)-1)+1),3),""),"")</f>
        <v/>
      </c>
      <c r="AD152" s="10" t="str">
        <f ca="1">IFERROR(IF(AI152&lt;&gt;"",ROUND(INDEX('N04-S05'!$BC$18:$BC$199,2*(ROWS(AD$150:AD152)-1)+1),3),""),"")</f>
        <v/>
      </c>
      <c r="AE152" s="207"/>
      <c r="AF152" s="25" t="str">
        <f ca="1">IFERROR(IF(AI152&lt;&gt;"",INDEX('N04-S05'!$AK$18:$AK$199,2*(ROWS(AF$150:AF152)-1)+1),""),"")</f>
        <v/>
      </c>
      <c r="AG152" s="31">
        <f ca="1">IFERROR(IF(AI152&lt;&gt;"",INDEX('N04-S05'!$BI$18:$BI$199,2*(ROWS(AG$150:AG152)-1)+1),""),"")</f>
        <v>0</v>
      </c>
      <c r="AH152" s="31" t="str">
        <f ca="1">IFERROR(IF(AI152&lt;&gt;"",INDEX('N04-S05'!$BH$18:$BH$199,2*(ROWS(AH$150:AH152)-1)+1),""),"")</f>
        <v/>
      </c>
      <c r="AI152" t="str">
        <f ca="1">IFERROR(INDEX('N04-S05'!$BQ$18:$BQ$199,2*(ROWS(AI$150:AI152)-1)+1),"")</f>
        <v>Submit for Review</v>
      </c>
      <c r="AJ152" s="25" t="str">
        <f>IFERROR(INDEX('N04-S05'!$BD$18:$BD$199,2*(ROWS(AJ$150:AJ152)-1)+1),"")</f>
        <v/>
      </c>
      <c r="AK152" s="25" t="str">
        <f>IFERROR(INDEX('N04-S05'!$BE$18:$BE$199,2*(ROWS(AK$150:AK152)-1)+1),"")</f>
        <v/>
      </c>
      <c r="AL152" s="207"/>
      <c r="AM152" s="207"/>
      <c r="AN152" s="207"/>
      <c r="AO152">
        <f>IFERROR(INDEX('N04-S05'!$B$18:$B$199,2*(ROWS(AO$150:AO152)-1)+1),"")</f>
        <v>3</v>
      </c>
      <c r="AP152" s="189"/>
      <c r="AQ152">
        <f>IFERROR(INDEX('N04-S05'!$C$18:$C$199,2*(ROWS(AQ$150:AQ152)-1)+1),"")</f>
        <v>0</v>
      </c>
      <c r="AR152">
        <f>IFERROR(INDEX('N04-S05'!$L$18:$L$199,2*(ROWS(AR$150:AR152)-1)+1),"")</f>
        <v>0</v>
      </c>
      <c r="AS152">
        <f>IFERROR(INDEX('N04-S05'!$T$18:$T$199,2*(ROWS(AS$150:AS152)-1)+1),"")</f>
        <v>0</v>
      </c>
      <c r="AT152" s="13" t="str">
        <f>IFERROR(INDEX('N04-S05'!$AY$18:$AY$199,2*(ROWS(AT$150:AT152)-1)+1),"")</f>
        <v/>
      </c>
      <c r="AU152" s="13" t="str">
        <f>IFERROR(INDEX('N04-S05'!$AZ$18:$AZ$199,2*(ROWS(AU$150:AU152)-1)+1),"")</f>
        <v/>
      </c>
      <c r="AV152" t="str">
        <f>IFERROR(INDEX('N04-S05'!$BA$18:$BA$199,2*(ROWS(AV$150:AV152)-1)+1),"")</f>
        <v/>
      </c>
      <c r="AW152" t="str">
        <f>IFERROR(INDEX('N04-S05'!$BF$18:$BF$199,2*(ROWS(AW$150:AW152)-1)+1),"")</f>
        <v/>
      </c>
      <c r="AX152" t="s">
        <v>820</v>
      </c>
      <c r="AY152" s="170"/>
      <c r="AZ152" s="170"/>
      <c r="BA152" s="170"/>
      <c r="BB152" s="170"/>
      <c r="BC152" s="170"/>
      <c r="BD152" s="170"/>
      <c r="BE152" s="170"/>
      <c r="BF152" s="170"/>
      <c r="BG152" s="170"/>
      <c r="BH152" s="170"/>
      <c r="BI152" s="170"/>
      <c r="BJ152" s="170"/>
      <c r="BK152" s="170"/>
    </row>
    <row r="153" spans="1:63">
      <c r="A153" s="14">
        <f t="shared" si="20"/>
        <v>0</v>
      </c>
      <c r="B153" t="str">
        <f t="shared" si="21"/>
        <v/>
      </c>
      <c r="C153" t="str">
        <f>IFERROR(IF(INDEX('N04-S05'!$BO$18:$BO$199,2*(ROWS($C$150:C153)-1)+1)="","",INDEX('N04-S05'!$BO$18:$BO$199,2*(ROWS($C$150:C153)-1)+1)),"")</f>
        <v/>
      </c>
      <c r="D153" t="s">
        <v>50</v>
      </c>
      <c r="E153" t="s">
        <v>38</v>
      </c>
      <c r="F153" t="s">
        <v>50</v>
      </c>
      <c r="G153" t="str">
        <f>IFERROR(INDEX('N04-S05'!$BG$18:$BG$199,2*(ROWS(G$150:G153)-1)+1),"")</f>
        <v/>
      </c>
      <c r="H153" s="207"/>
      <c r="I153" s="189"/>
      <c r="J153" s="189"/>
      <c r="K153" s="189"/>
      <c r="L153" s="13" t="str">
        <f ca="1">IFERROR(ROUND(IF($AI153&lt;&gt;"","",INDEX('N04-S05'!$AE$18:$AE$199,2*(ROWS(L$150:L153)-1)+1)),2),"")</f>
        <v/>
      </c>
      <c r="N153" s="13" t="str">
        <f ca="1">IFERROR(ROUND(IF($AI153&lt;&gt;"","",INDEX('N04-S05'!$AH$18:$AH$199,2*(ROWS(N$150:N153)-1)+1)),2),"")</f>
        <v/>
      </c>
      <c r="O153" s="13" t="str">
        <f ca="1">IFERROR(ROUND(IF($AI153&lt;&gt;"","",INDEX('N04-S05'!$AB$18:$AB$199,2*(ROWS(O$150:O153)-1)+1)),2),"")</f>
        <v/>
      </c>
      <c r="P153" s="10" t="str">
        <f ca="1">IFERROR(IF(AI153&lt;&gt;"","",ROUND(INDEX('N04-S05'!$BB$18:$BB$199,2*(ROWS(P$150:P153)-1)+1),3)),"")</f>
        <v/>
      </c>
      <c r="Q153" s="10" t="str">
        <f ca="1">IFERROR(IF(AI153&lt;&gt;"","",ROUND(INDEX('N04-S05'!$BC$18:$BC$199,2*(ROWS(Q$150:Q153)-1)+1),3)),"")</f>
        <v/>
      </c>
      <c r="R153" s="207"/>
      <c r="S153" s="25" t="str">
        <f ca="1">IFERROR(IF(AI153&lt;&gt;"","",INDEX('N04-S05'!$AK$18:$AK$199,2*(ROWS(S$150:S153)-1)+1)),"")</f>
        <v/>
      </c>
      <c r="T153" s="31" t="str">
        <f ca="1">IFERROR(IF(AI153&lt;&gt;"","",INDEX('N04-S05'!$BI$18:$BI$199,2*(ROWS(T$150:T153)-1)+1)),"")</f>
        <v/>
      </c>
      <c r="U153" s="31" t="str">
        <f ca="1">IFERROR(IF(AI153&lt;&gt;"","",INDEX('N04-S05'!$BH$18:$BH$199,2*(ROWS(U$150:U153)-1)+1)),"")</f>
        <v/>
      </c>
      <c r="V153" s="13" t="str">
        <f ca="1">IFERROR(IF(AI153&lt;&gt;"","",INDEX('N04-S05'!$AN$18:$AN$199,2*(ROWS(V$150:V153)-1)+1)),"")</f>
        <v/>
      </c>
      <c r="W153" s="207"/>
      <c r="X153" s="207"/>
      <c r="Y153" s="13">
        <f ca="1">IFERROR(IF(AI153&lt;&gt;"",INDEX('N04-S05'!$AE$18:$AE$199,2*(ROWS(Y$150:Y153)-1)+1),""),"")</f>
        <v>0</v>
      </c>
      <c r="AA153" s="13" t="str">
        <f ca="1">IFERROR(IF($AI153&lt;&gt;"",INDEX('N04-S05'!$AH$18:$AH$199,2*(ROWS(AA$150:AA153)-1)+1),""),"")</f>
        <v/>
      </c>
      <c r="AB153" s="13">
        <f ca="1">IFERROR(IF($AI153&lt;&gt;"",INDEX('N04-S05'!$AB$18:$AB$199,2*(ROWS(AB$150:AB153)-1)+1),""),"")</f>
        <v>0</v>
      </c>
      <c r="AC153" s="10" t="str">
        <f ca="1">IFERROR(IF(AI153&lt;&gt;"",ROUND(INDEX('N04-S05'!$BB$18:$BB$199,2*(ROWS(AC$150:AC153)-1)+1),3),""),"")</f>
        <v/>
      </c>
      <c r="AD153" s="10" t="str">
        <f ca="1">IFERROR(IF(AI153&lt;&gt;"",ROUND(INDEX('N04-S05'!$BC$18:$BC$199,2*(ROWS(AD$150:AD153)-1)+1),3),""),"")</f>
        <v/>
      </c>
      <c r="AE153" s="207"/>
      <c r="AF153" s="25" t="str">
        <f ca="1">IFERROR(IF(AI153&lt;&gt;"",INDEX('N04-S05'!$AK$18:$AK$199,2*(ROWS(AF$150:AF153)-1)+1),""),"")</f>
        <v/>
      </c>
      <c r="AG153" s="31">
        <f ca="1">IFERROR(IF(AI153&lt;&gt;"",INDEX('N04-S05'!$BI$18:$BI$199,2*(ROWS(AG$150:AG153)-1)+1),""),"")</f>
        <v>0</v>
      </c>
      <c r="AH153" s="31" t="str">
        <f ca="1">IFERROR(IF(AI153&lt;&gt;"",INDEX('N04-S05'!$BH$18:$BH$199,2*(ROWS(AH$150:AH153)-1)+1),""),"")</f>
        <v/>
      </c>
      <c r="AI153" t="str">
        <f ca="1">IFERROR(INDEX('N04-S05'!$BQ$18:$BQ$199,2*(ROWS(AI$150:AI153)-1)+1),"")</f>
        <v>Submit for Review</v>
      </c>
      <c r="AJ153" s="25" t="str">
        <f>IFERROR(INDEX('N04-S05'!$BD$18:$BD$199,2*(ROWS(AJ$150:AJ153)-1)+1),"")</f>
        <v/>
      </c>
      <c r="AK153" s="25" t="str">
        <f>IFERROR(INDEX('N04-S05'!$BE$18:$BE$199,2*(ROWS(AK$150:AK153)-1)+1),"")</f>
        <v/>
      </c>
      <c r="AL153" s="207"/>
      <c r="AM153" s="207"/>
      <c r="AN153" s="207"/>
      <c r="AO153">
        <f>IFERROR(INDEX('N04-S05'!$B$18:$B$199,2*(ROWS(AO$150:AO153)-1)+1),"")</f>
        <v>4</v>
      </c>
      <c r="AP153" s="189"/>
      <c r="AQ153">
        <f>IFERROR(INDEX('N04-S05'!$C$18:$C$199,2*(ROWS(AQ$150:AQ153)-1)+1),"")</f>
        <v>0</v>
      </c>
      <c r="AR153">
        <f>IFERROR(INDEX('N04-S05'!$L$18:$L$199,2*(ROWS(AR$150:AR153)-1)+1),"")</f>
        <v>0</v>
      </c>
      <c r="AS153">
        <f>IFERROR(INDEX('N04-S05'!$T$18:$T$199,2*(ROWS(AS$150:AS153)-1)+1),"")</f>
        <v>0</v>
      </c>
      <c r="AT153" s="13" t="str">
        <f>IFERROR(INDEX('N04-S05'!$AY$18:$AY$199,2*(ROWS(AT$150:AT153)-1)+1),"")</f>
        <v/>
      </c>
      <c r="AU153" s="13" t="str">
        <f>IFERROR(INDEX('N04-S05'!$AZ$18:$AZ$199,2*(ROWS(AU$150:AU153)-1)+1),"")</f>
        <v/>
      </c>
      <c r="AV153" t="str">
        <f>IFERROR(INDEX('N04-S05'!$BA$18:$BA$199,2*(ROWS(AV$150:AV153)-1)+1),"")</f>
        <v/>
      </c>
      <c r="AW153" t="str">
        <f>IFERROR(INDEX('N04-S05'!$BF$18:$BF$199,2*(ROWS(AW$150:AW153)-1)+1),"")</f>
        <v/>
      </c>
      <c r="AX153" t="s">
        <v>820</v>
      </c>
      <c r="AY153" s="170"/>
      <c r="AZ153" s="170"/>
      <c r="BA153" s="170"/>
      <c r="BB153" s="170"/>
      <c r="BC153" s="170"/>
      <c r="BD153" s="170"/>
      <c r="BE153" s="170"/>
      <c r="BF153" s="170"/>
      <c r="BG153" s="170"/>
      <c r="BH153" s="170"/>
      <c r="BI153" s="170"/>
      <c r="BJ153" s="170"/>
      <c r="BK153" s="170"/>
    </row>
    <row r="154" spans="1:63">
      <c r="A154" s="14">
        <f t="shared" si="20"/>
        <v>0</v>
      </c>
      <c r="B154" t="str">
        <f t="shared" si="21"/>
        <v/>
      </c>
      <c r="C154" t="str">
        <f>IFERROR(IF(INDEX('N04-S05'!$BO$18:$BO$199,2*(ROWS($C$150:C154)-1)+1)="","",INDEX('N04-S05'!$BO$18:$BO$199,2*(ROWS($C$150:C154)-1)+1)),"")</f>
        <v/>
      </c>
      <c r="D154" t="s">
        <v>50</v>
      </c>
      <c r="E154" t="s">
        <v>38</v>
      </c>
      <c r="F154" t="s">
        <v>50</v>
      </c>
      <c r="G154" t="str">
        <f>IFERROR(INDEX('N04-S05'!$BG$18:$BG$199,2*(ROWS(G$150:G154)-1)+1),"")</f>
        <v/>
      </c>
      <c r="H154" s="207"/>
      <c r="I154" s="189"/>
      <c r="J154" s="189"/>
      <c r="K154" s="189"/>
      <c r="L154" s="13" t="str">
        <f ca="1">IFERROR(ROUND(IF($AI154&lt;&gt;"","",INDEX('N04-S05'!$AE$18:$AE$199,2*(ROWS(L$150:L154)-1)+1)),2),"")</f>
        <v/>
      </c>
      <c r="N154" s="13" t="str">
        <f ca="1">IFERROR(ROUND(IF($AI154&lt;&gt;"","",INDEX('N04-S05'!$AH$18:$AH$199,2*(ROWS(N$150:N154)-1)+1)),2),"")</f>
        <v/>
      </c>
      <c r="O154" s="13" t="str">
        <f ca="1">IFERROR(ROUND(IF($AI154&lt;&gt;"","",INDEX('N04-S05'!$AB$18:$AB$199,2*(ROWS(O$150:O154)-1)+1)),2),"")</f>
        <v/>
      </c>
      <c r="P154" s="10" t="str">
        <f ca="1">IFERROR(IF(AI154&lt;&gt;"","",ROUND(INDEX('N04-S05'!$BB$18:$BB$199,2*(ROWS(P$150:P154)-1)+1),3)),"")</f>
        <v/>
      </c>
      <c r="Q154" s="10" t="str">
        <f ca="1">IFERROR(IF(AI154&lt;&gt;"","",ROUND(INDEX('N04-S05'!$BC$18:$BC$199,2*(ROWS(Q$150:Q154)-1)+1),3)),"")</f>
        <v/>
      </c>
      <c r="R154" s="207"/>
      <c r="S154" s="25" t="str">
        <f ca="1">IFERROR(IF(AI154&lt;&gt;"","",INDEX('N04-S05'!$AK$18:$AK$199,2*(ROWS(S$150:S154)-1)+1)),"")</f>
        <v/>
      </c>
      <c r="T154" s="31" t="str">
        <f ca="1">IFERROR(IF(AI154&lt;&gt;"","",INDEX('N04-S05'!$BI$18:$BI$199,2*(ROWS(T$150:T154)-1)+1)),"")</f>
        <v/>
      </c>
      <c r="U154" s="31" t="str">
        <f ca="1">IFERROR(IF(AI154&lt;&gt;"","",INDEX('N04-S05'!$BH$18:$BH$199,2*(ROWS(U$150:U154)-1)+1)),"")</f>
        <v/>
      </c>
      <c r="V154" s="13" t="str">
        <f ca="1">IFERROR(IF(AI154&lt;&gt;"","",INDEX('N04-S05'!$AN$18:$AN$199,2*(ROWS(V$150:V154)-1)+1)),"")</f>
        <v/>
      </c>
      <c r="W154" s="207"/>
      <c r="X154" s="207"/>
      <c r="Y154" s="13">
        <f ca="1">IFERROR(IF(AI154&lt;&gt;"",INDEX('N04-S05'!$AE$18:$AE$199,2*(ROWS(Y$150:Y154)-1)+1),""),"")</f>
        <v>0</v>
      </c>
      <c r="AA154" s="13" t="str">
        <f ca="1">IFERROR(IF($AI154&lt;&gt;"",INDEX('N04-S05'!$AH$18:$AH$199,2*(ROWS(AA$150:AA154)-1)+1),""),"")</f>
        <v/>
      </c>
      <c r="AB154" s="13">
        <f ca="1">IFERROR(IF($AI154&lt;&gt;"",INDEX('N04-S05'!$AB$18:$AB$199,2*(ROWS(AB$150:AB154)-1)+1),""),"")</f>
        <v>0</v>
      </c>
      <c r="AC154" s="10" t="str">
        <f ca="1">IFERROR(IF(AI154&lt;&gt;"",ROUND(INDEX('N04-S05'!$BB$18:$BB$199,2*(ROWS(AC$150:AC154)-1)+1),3),""),"")</f>
        <v/>
      </c>
      <c r="AD154" s="10" t="str">
        <f ca="1">IFERROR(IF(AI154&lt;&gt;"",ROUND(INDEX('N04-S05'!$BC$18:$BC$199,2*(ROWS(AD$150:AD154)-1)+1),3),""),"")</f>
        <v/>
      </c>
      <c r="AE154" s="207"/>
      <c r="AF154" s="25" t="str">
        <f ca="1">IFERROR(IF(AI154&lt;&gt;"",INDEX('N04-S05'!$AK$18:$AK$199,2*(ROWS(AF$150:AF154)-1)+1),""),"")</f>
        <v/>
      </c>
      <c r="AG154" s="31">
        <f ca="1">IFERROR(IF(AI154&lt;&gt;"",INDEX('N04-S05'!$BI$18:$BI$199,2*(ROWS(AG$150:AG154)-1)+1),""),"")</f>
        <v>0</v>
      </c>
      <c r="AH154" s="31" t="str">
        <f ca="1">IFERROR(IF(AI154&lt;&gt;"",INDEX('N04-S05'!$BH$18:$BH$199,2*(ROWS(AH$150:AH154)-1)+1),""),"")</f>
        <v/>
      </c>
      <c r="AI154" t="str">
        <f ca="1">IFERROR(INDEX('N04-S05'!$BQ$18:$BQ$199,2*(ROWS(AI$150:AI154)-1)+1),"")</f>
        <v>Submit for Review</v>
      </c>
      <c r="AJ154" s="25" t="str">
        <f>IFERROR(INDEX('N04-S05'!$BD$18:$BD$199,2*(ROWS(AJ$150:AJ154)-1)+1),"")</f>
        <v/>
      </c>
      <c r="AK154" s="25" t="str">
        <f>IFERROR(INDEX('N04-S05'!$BE$18:$BE$199,2*(ROWS(AK$150:AK154)-1)+1),"")</f>
        <v/>
      </c>
      <c r="AL154" s="207"/>
      <c r="AM154" s="207"/>
      <c r="AN154" s="207"/>
      <c r="AO154">
        <f>IFERROR(INDEX('N04-S05'!$B$18:$B$199,2*(ROWS(AO$150:AO154)-1)+1),"")</f>
        <v>5</v>
      </c>
      <c r="AP154" s="189"/>
      <c r="AQ154">
        <f>IFERROR(INDEX('N04-S05'!$C$18:$C$199,2*(ROWS(AQ$150:AQ154)-1)+1),"")</f>
        <v>0</v>
      </c>
      <c r="AR154">
        <f>IFERROR(INDEX('N04-S05'!$L$18:$L$199,2*(ROWS(AR$150:AR154)-1)+1),"")</f>
        <v>0</v>
      </c>
      <c r="AS154">
        <f>IFERROR(INDEX('N04-S05'!$T$18:$T$199,2*(ROWS(AS$150:AS154)-1)+1),"")</f>
        <v>0</v>
      </c>
      <c r="AT154" s="13" t="str">
        <f>IFERROR(INDEX('N04-S05'!$AY$18:$AY$199,2*(ROWS(AT$150:AT154)-1)+1),"")</f>
        <v/>
      </c>
      <c r="AU154" s="13" t="str">
        <f>IFERROR(INDEX('N04-S05'!$AZ$18:$AZ$199,2*(ROWS(AU$150:AU154)-1)+1),"")</f>
        <v/>
      </c>
      <c r="AV154" t="str">
        <f>IFERROR(INDEX('N04-S05'!$BA$18:$BA$199,2*(ROWS(AV$150:AV154)-1)+1),"")</f>
        <v/>
      </c>
      <c r="AW154" t="str">
        <f>IFERROR(INDEX('N04-S05'!$BF$18:$BF$199,2*(ROWS(AW$150:AW154)-1)+1),"")</f>
        <v/>
      </c>
      <c r="AX154" t="s">
        <v>820</v>
      </c>
      <c r="AY154" s="170"/>
      <c r="AZ154" s="170"/>
      <c r="BA154" s="170"/>
      <c r="BB154" s="170"/>
      <c r="BC154" s="170"/>
      <c r="BD154" s="170"/>
      <c r="BE154" s="170"/>
      <c r="BF154" s="170"/>
      <c r="BG154" s="170"/>
      <c r="BH154" s="170"/>
      <c r="BI154" s="170"/>
      <c r="BJ154" s="170"/>
      <c r="BK154" s="170"/>
    </row>
    <row r="155" spans="1:63">
      <c r="A155" s="14">
        <f t="shared" si="20"/>
        <v>0</v>
      </c>
      <c r="B155" t="str">
        <f t="shared" si="21"/>
        <v/>
      </c>
      <c r="C155" t="str">
        <f>IFERROR(IF(INDEX('N04-S05'!$BO$18:$BO$199,2*(ROWS($C$150:C155)-1)+1)="","",INDEX('N04-S05'!$BO$18:$BO$199,2*(ROWS($C$150:C155)-1)+1)),"")</f>
        <v/>
      </c>
      <c r="D155" t="s">
        <v>50</v>
      </c>
      <c r="E155" t="s">
        <v>38</v>
      </c>
      <c r="F155" t="s">
        <v>50</v>
      </c>
      <c r="G155" t="str">
        <f>IFERROR(INDEX('N04-S05'!$BG$18:$BG$199,2*(ROWS(G$150:G155)-1)+1),"")</f>
        <v/>
      </c>
      <c r="H155" s="207"/>
      <c r="I155" s="189"/>
      <c r="J155" s="189"/>
      <c r="K155" s="189"/>
      <c r="L155" s="13" t="str">
        <f ca="1">IFERROR(ROUND(IF($AI155&lt;&gt;"","",INDEX('N04-S05'!$AE$18:$AE$199,2*(ROWS(L$150:L155)-1)+1)),2),"")</f>
        <v/>
      </c>
      <c r="N155" s="13" t="str">
        <f ca="1">IFERROR(ROUND(IF($AI155&lt;&gt;"","",INDEX('N04-S05'!$AH$18:$AH$199,2*(ROWS(N$150:N155)-1)+1)),2),"")</f>
        <v/>
      </c>
      <c r="O155" s="13" t="str">
        <f ca="1">IFERROR(ROUND(IF($AI155&lt;&gt;"","",INDEX('N04-S05'!$AB$18:$AB$199,2*(ROWS(O$150:O155)-1)+1)),2),"")</f>
        <v/>
      </c>
      <c r="P155" s="10" t="str">
        <f ca="1">IFERROR(IF(AI155&lt;&gt;"","",ROUND(INDEX('N04-S05'!$BB$18:$BB$199,2*(ROWS(P$150:P155)-1)+1),3)),"")</f>
        <v/>
      </c>
      <c r="Q155" s="10" t="str">
        <f ca="1">IFERROR(IF(AI155&lt;&gt;"","",ROUND(INDEX('N04-S05'!$BC$18:$BC$199,2*(ROWS(Q$150:Q155)-1)+1),3)),"")</f>
        <v/>
      </c>
      <c r="R155" s="207"/>
      <c r="S155" s="25" t="str">
        <f ca="1">IFERROR(IF(AI155&lt;&gt;"","",INDEX('N04-S05'!$AK$18:$AK$199,2*(ROWS(S$150:S155)-1)+1)),"")</f>
        <v/>
      </c>
      <c r="T155" s="31" t="str">
        <f ca="1">IFERROR(IF(AI155&lt;&gt;"","",INDEX('N04-S05'!$BI$18:$BI$199,2*(ROWS(T$150:T155)-1)+1)),"")</f>
        <v/>
      </c>
      <c r="U155" s="31" t="str">
        <f ca="1">IFERROR(IF(AI155&lt;&gt;"","",INDEX('N04-S05'!$BH$18:$BH$199,2*(ROWS(U$150:U155)-1)+1)),"")</f>
        <v/>
      </c>
      <c r="V155" s="13" t="str">
        <f ca="1">IFERROR(IF(AI155&lt;&gt;"","",INDEX('N04-S05'!$AN$18:$AN$199,2*(ROWS(V$150:V155)-1)+1)),"")</f>
        <v/>
      </c>
      <c r="W155" s="207"/>
      <c r="X155" s="207"/>
      <c r="Y155" s="13">
        <f ca="1">IFERROR(IF(AI155&lt;&gt;"",INDEX('N04-S05'!$AE$18:$AE$199,2*(ROWS(Y$150:Y155)-1)+1),""),"")</f>
        <v>0</v>
      </c>
      <c r="AA155" s="13" t="str">
        <f ca="1">IFERROR(IF($AI155&lt;&gt;"",INDEX('N04-S05'!$AH$18:$AH$199,2*(ROWS(AA$150:AA155)-1)+1),""),"")</f>
        <v/>
      </c>
      <c r="AB155" s="13">
        <f ca="1">IFERROR(IF($AI155&lt;&gt;"",INDEX('N04-S05'!$AB$18:$AB$199,2*(ROWS(AB$150:AB155)-1)+1),""),"")</f>
        <v>0</v>
      </c>
      <c r="AC155" s="10" t="str">
        <f ca="1">IFERROR(IF(AI155&lt;&gt;"",ROUND(INDEX('N04-S05'!$BB$18:$BB$199,2*(ROWS(AC$150:AC155)-1)+1),3),""),"")</f>
        <v/>
      </c>
      <c r="AD155" s="10" t="str">
        <f ca="1">IFERROR(IF(AI155&lt;&gt;"",ROUND(INDEX('N04-S05'!$BC$18:$BC$199,2*(ROWS(AD$150:AD155)-1)+1),3),""),"")</f>
        <v/>
      </c>
      <c r="AE155" s="207"/>
      <c r="AF155" s="25" t="str">
        <f ca="1">IFERROR(IF(AI155&lt;&gt;"",INDEX('N04-S05'!$AK$18:$AK$199,2*(ROWS(AF$150:AF155)-1)+1),""),"")</f>
        <v/>
      </c>
      <c r="AG155" s="31">
        <f ca="1">IFERROR(IF(AI155&lt;&gt;"",INDEX('N04-S05'!$BI$18:$BI$199,2*(ROWS(AG$150:AG155)-1)+1),""),"")</f>
        <v>0</v>
      </c>
      <c r="AH155" s="31" t="str">
        <f ca="1">IFERROR(IF(AI155&lt;&gt;"",INDEX('N04-S05'!$BH$18:$BH$199,2*(ROWS(AH$150:AH155)-1)+1),""),"")</f>
        <v/>
      </c>
      <c r="AI155" t="str">
        <f ca="1">IFERROR(INDEX('N04-S05'!$BQ$18:$BQ$199,2*(ROWS(AI$150:AI155)-1)+1),"")</f>
        <v>Submit for Review</v>
      </c>
      <c r="AJ155" s="25" t="str">
        <f>IFERROR(INDEX('N04-S05'!$BD$18:$BD$199,2*(ROWS(AJ$150:AJ155)-1)+1),"")</f>
        <v/>
      </c>
      <c r="AK155" s="25" t="str">
        <f>IFERROR(INDEX('N04-S05'!$BE$18:$BE$199,2*(ROWS(AK$150:AK155)-1)+1),"")</f>
        <v/>
      </c>
      <c r="AL155" s="207"/>
      <c r="AM155" s="207"/>
      <c r="AN155" s="207"/>
      <c r="AO155">
        <f>IFERROR(INDEX('N04-S05'!$B$18:$B$199,2*(ROWS(AO$150:AO155)-1)+1),"")</f>
        <v>6</v>
      </c>
      <c r="AP155" s="189"/>
      <c r="AQ155">
        <f>IFERROR(INDEX('N04-S05'!$C$18:$C$199,2*(ROWS(AQ$150:AQ155)-1)+1),"")</f>
        <v>0</v>
      </c>
      <c r="AR155">
        <f>IFERROR(INDEX('N04-S05'!$L$18:$L$199,2*(ROWS(AR$150:AR155)-1)+1),"")</f>
        <v>0</v>
      </c>
      <c r="AS155">
        <f>IFERROR(INDEX('N04-S05'!$T$18:$T$199,2*(ROWS(AS$150:AS155)-1)+1),"")</f>
        <v>0</v>
      </c>
      <c r="AT155" s="13" t="str">
        <f>IFERROR(INDEX('N04-S05'!$AY$18:$AY$199,2*(ROWS(AT$150:AT155)-1)+1),"")</f>
        <v/>
      </c>
      <c r="AU155" s="13" t="str">
        <f>IFERROR(INDEX('N04-S05'!$AZ$18:$AZ$199,2*(ROWS(AU$150:AU155)-1)+1),"")</f>
        <v/>
      </c>
      <c r="AV155" t="str">
        <f>IFERROR(INDEX('N04-S05'!$BA$18:$BA$199,2*(ROWS(AV$150:AV155)-1)+1),"")</f>
        <v/>
      </c>
      <c r="AW155" t="str">
        <f>IFERROR(INDEX('N04-S05'!$BF$18:$BF$199,2*(ROWS(AW$150:AW155)-1)+1),"")</f>
        <v/>
      </c>
      <c r="AX155" t="s">
        <v>820</v>
      </c>
      <c r="AY155" s="170"/>
      <c r="AZ155" s="170"/>
      <c r="BA155" s="170"/>
      <c r="BB155" s="170"/>
      <c r="BC155" s="170"/>
      <c r="BD155" s="170"/>
      <c r="BE155" s="170"/>
      <c r="BF155" s="170"/>
      <c r="BG155" s="170"/>
      <c r="BH155" s="170"/>
      <c r="BI155" s="170"/>
      <c r="BJ155" s="170"/>
      <c r="BK155" s="170"/>
    </row>
    <row r="156" spans="1:63">
      <c r="A156" s="14">
        <f t="shared" si="20"/>
        <v>0</v>
      </c>
      <c r="B156" t="str">
        <f t="shared" si="21"/>
        <v/>
      </c>
      <c r="C156" t="str">
        <f>IFERROR(IF(INDEX('N04-S05'!$BO$18:$BO$199,2*(ROWS($C$150:C156)-1)+1)="","",INDEX('N04-S05'!$BO$18:$BO$199,2*(ROWS($C$150:C156)-1)+1)),"")</f>
        <v/>
      </c>
      <c r="D156" t="s">
        <v>50</v>
      </c>
      <c r="E156" t="s">
        <v>38</v>
      </c>
      <c r="F156" t="s">
        <v>50</v>
      </c>
      <c r="G156" t="str">
        <f>IFERROR(INDEX('N04-S05'!$BG$18:$BG$199,2*(ROWS(G$150:G156)-1)+1),"")</f>
        <v/>
      </c>
      <c r="H156" s="207"/>
      <c r="I156" s="189"/>
      <c r="J156" s="189"/>
      <c r="K156" s="189"/>
      <c r="L156" s="13" t="str">
        <f ca="1">IFERROR(ROUND(IF($AI156&lt;&gt;"","",INDEX('N04-S05'!$AE$18:$AE$199,2*(ROWS(L$150:L156)-1)+1)),2),"")</f>
        <v/>
      </c>
      <c r="N156" s="13" t="str">
        <f ca="1">IFERROR(ROUND(IF($AI156&lt;&gt;"","",INDEX('N04-S05'!$AH$18:$AH$199,2*(ROWS(N$150:N156)-1)+1)),2),"")</f>
        <v/>
      </c>
      <c r="O156" s="13" t="str">
        <f ca="1">IFERROR(ROUND(IF($AI156&lt;&gt;"","",INDEX('N04-S05'!$AB$18:$AB$199,2*(ROWS(O$150:O156)-1)+1)),2),"")</f>
        <v/>
      </c>
      <c r="P156" s="10" t="str">
        <f ca="1">IFERROR(IF(AI156&lt;&gt;"","",ROUND(INDEX('N04-S05'!$BB$18:$BB$199,2*(ROWS(P$150:P156)-1)+1),3)),"")</f>
        <v/>
      </c>
      <c r="Q156" s="10" t="str">
        <f ca="1">IFERROR(IF(AI156&lt;&gt;"","",ROUND(INDEX('N04-S05'!$BC$18:$BC$199,2*(ROWS(Q$150:Q156)-1)+1),3)),"")</f>
        <v/>
      </c>
      <c r="R156" s="207"/>
      <c r="S156" s="25" t="str">
        <f ca="1">IFERROR(IF(AI156&lt;&gt;"","",INDEX('N04-S05'!$AK$18:$AK$199,2*(ROWS(S$150:S156)-1)+1)),"")</f>
        <v/>
      </c>
      <c r="T156" s="31" t="str">
        <f ca="1">IFERROR(IF(AI156&lt;&gt;"","",INDEX('N04-S05'!$BI$18:$BI$199,2*(ROWS(T$150:T156)-1)+1)),"")</f>
        <v/>
      </c>
      <c r="U156" s="31" t="str">
        <f ca="1">IFERROR(IF(AI156&lt;&gt;"","",INDEX('N04-S05'!$BH$18:$BH$199,2*(ROWS(U$150:U156)-1)+1)),"")</f>
        <v/>
      </c>
      <c r="V156" s="13" t="str">
        <f ca="1">IFERROR(IF(AI156&lt;&gt;"","",INDEX('N04-S05'!$AN$18:$AN$199,2*(ROWS(V$150:V156)-1)+1)),"")</f>
        <v/>
      </c>
      <c r="W156" s="207"/>
      <c r="X156" s="207"/>
      <c r="Y156" s="13">
        <f ca="1">IFERROR(IF(AI156&lt;&gt;"",INDEX('N04-S05'!$AE$18:$AE$199,2*(ROWS(Y$150:Y156)-1)+1),""),"")</f>
        <v>0</v>
      </c>
      <c r="AA156" s="13" t="str">
        <f ca="1">IFERROR(IF($AI156&lt;&gt;"",INDEX('N04-S05'!$AH$18:$AH$199,2*(ROWS(AA$150:AA156)-1)+1),""),"")</f>
        <v/>
      </c>
      <c r="AB156" s="13">
        <f ca="1">IFERROR(IF($AI156&lt;&gt;"",INDEX('N04-S05'!$AB$18:$AB$199,2*(ROWS(AB$150:AB156)-1)+1),""),"")</f>
        <v>0</v>
      </c>
      <c r="AC156" s="10" t="str">
        <f ca="1">IFERROR(IF(AI156&lt;&gt;"",ROUND(INDEX('N04-S05'!$BB$18:$BB$199,2*(ROWS(AC$150:AC156)-1)+1),3),""),"")</f>
        <v/>
      </c>
      <c r="AD156" s="10" t="str">
        <f ca="1">IFERROR(IF(AI156&lt;&gt;"",ROUND(INDEX('N04-S05'!$BC$18:$BC$199,2*(ROWS(AD$150:AD156)-1)+1),3),""),"")</f>
        <v/>
      </c>
      <c r="AE156" s="207"/>
      <c r="AF156" s="25" t="str">
        <f ca="1">IFERROR(IF(AI156&lt;&gt;"",INDEX('N04-S05'!$AK$18:$AK$199,2*(ROWS(AF$150:AF156)-1)+1),""),"")</f>
        <v/>
      </c>
      <c r="AG156" s="31">
        <f ca="1">IFERROR(IF(AI156&lt;&gt;"",INDEX('N04-S05'!$BI$18:$BI$199,2*(ROWS(AG$150:AG156)-1)+1),""),"")</f>
        <v>0</v>
      </c>
      <c r="AH156" s="31" t="str">
        <f ca="1">IFERROR(IF(AI156&lt;&gt;"",INDEX('N04-S05'!$BH$18:$BH$199,2*(ROWS(AH$150:AH156)-1)+1),""),"")</f>
        <v/>
      </c>
      <c r="AI156" t="str">
        <f ca="1">IFERROR(INDEX('N04-S05'!$BQ$18:$BQ$199,2*(ROWS(AI$150:AI156)-1)+1),"")</f>
        <v>Submit for Review</v>
      </c>
      <c r="AJ156" s="25" t="str">
        <f>IFERROR(INDEX('N04-S05'!$BD$18:$BD$199,2*(ROWS(AJ$150:AJ156)-1)+1),"")</f>
        <v/>
      </c>
      <c r="AK156" s="25" t="str">
        <f>IFERROR(INDEX('N04-S05'!$BE$18:$BE$199,2*(ROWS(AK$150:AK156)-1)+1),"")</f>
        <v/>
      </c>
      <c r="AL156" s="207"/>
      <c r="AM156" s="207"/>
      <c r="AN156" s="207"/>
      <c r="AO156">
        <f>IFERROR(INDEX('N04-S05'!$B$18:$B$199,2*(ROWS(AO$150:AO156)-1)+1),"")</f>
        <v>7</v>
      </c>
      <c r="AP156" s="189"/>
      <c r="AQ156">
        <f>IFERROR(INDEX('N04-S05'!$C$18:$C$199,2*(ROWS(AQ$150:AQ156)-1)+1),"")</f>
        <v>0</v>
      </c>
      <c r="AR156">
        <f>IFERROR(INDEX('N04-S05'!$L$18:$L$199,2*(ROWS(AR$150:AR156)-1)+1),"")</f>
        <v>0</v>
      </c>
      <c r="AS156">
        <f>IFERROR(INDEX('N04-S05'!$T$18:$T$199,2*(ROWS(AS$150:AS156)-1)+1),"")</f>
        <v>0</v>
      </c>
      <c r="AT156" s="13" t="str">
        <f>IFERROR(INDEX('N04-S05'!$AY$18:$AY$199,2*(ROWS(AT$150:AT156)-1)+1),"")</f>
        <v/>
      </c>
      <c r="AU156" s="13" t="str">
        <f>IFERROR(INDEX('N04-S05'!$AZ$18:$AZ$199,2*(ROWS(AU$150:AU156)-1)+1),"")</f>
        <v/>
      </c>
      <c r="AV156" t="str">
        <f>IFERROR(INDEX('N04-S05'!$BA$18:$BA$199,2*(ROWS(AV$150:AV156)-1)+1),"")</f>
        <v/>
      </c>
      <c r="AW156" t="str">
        <f>IFERROR(INDEX('N04-S05'!$BF$18:$BF$199,2*(ROWS(AW$150:AW156)-1)+1),"")</f>
        <v/>
      </c>
      <c r="AX156" t="s">
        <v>820</v>
      </c>
      <c r="AY156" s="170"/>
      <c r="AZ156" s="170"/>
      <c r="BA156" s="170"/>
      <c r="BB156" s="170"/>
      <c r="BC156" s="170"/>
      <c r="BD156" s="170"/>
      <c r="BE156" s="170"/>
      <c r="BF156" s="170"/>
      <c r="BG156" s="170"/>
      <c r="BH156" s="170"/>
      <c r="BI156" s="170"/>
      <c r="BJ156" s="170"/>
      <c r="BK156" s="170"/>
    </row>
    <row r="157" spans="1:63">
      <c r="A157" s="14">
        <f t="shared" si="20"/>
        <v>0</v>
      </c>
      <c r="B157" t="str">
        <f t="shared" si="21"/>
        <v/>
      </c>
      <c r="C157" t="str">
        <f>IFERROR(IF(INDEX('N04-S05'!$BO$18:$BO$199,2*(ROWS($C$150:C157)-1)+1)="","",INDEX('N04-S05'!$BO$18:$BO$199,2*(ROWS($C$150:C157)-1)+1)),"")</f>
        <v/>
      </c>
      <c r="D157" t="s">
        <v>50</v>
      </c>
      <c r="E157" t="s">
        <v>38</v>
      </c>
      <c r="F157" t="s">
        <v>50</v>
      </c>
      <c r="G157" t="str">
        <f>IFERROR(INDEX('N04-S05'!$BG$18:$BG$199,2*(ROWS(G$150:G157)-1)+1),"")</f>
        <v/>
      </c>
      <c r="H157" s="207"/>
      <c r="I157" s="189"/>
      <c r="J157" s="189"/>
      <c r="K157" s="189"/>
      <c r="L157" s="13" t="str">
        <f ca="1">IFERROR(ROUND(IF($AI157&lt;&gt;"","",INDEX('N04-S05'!$AE$18:$AE$199,2*(ROWS(L$150:L157)-1)+1)),2),"")</f>
        <v/>
      </c>
      <c r="N157" s="13" t="str">
        <f ca="1">IFERROR(ROUND(IF($AI157&lt;&gt;"","",INDEX('N04-S05'!$AH$18:$AH$199,2*(ROWS(N$150:N157)-1)+1)),2),"")</f>
        <v/>
      </c>
      <c r="O157" s="13" t="str">
        <f ca="1">IFERROR(ROUND(IF($AI157&lt;&gt;"","",INDEX('N04-S05'!$AB$18:$AB$199,2*(ROWS(O$150:O157)-1)+1)),2),"")</f>
        <v/>
      </c>
      <c r="P157" s="10" t="str">
        <f ca="1">IFERROR(IF(AI157&lt;&gt;"","",ROUND(INDEX('N04-S05'!$BB$18:$BB$199,2*(ROWS(P$150:P157)-1)+1),3)),"")</f>
        <v/>
      </c>
      <c r="Q157" s="10" t="str">
        <f ca="1">IFERROR(IF(AI157&lt;&gt;"","",ROUND(INDEX('N04-S05'!$BC$18:$BC$199,2*(ROWS(Q$150:Q157)-1)+1),3)),"")</f>
        <v/>
      </c>
      <c r="R157" s="207"/>
      <c r="S157" s="25" t="str">
        <f ca="1">IFERROR(IF(AI157&lt;&gt;"","",INDEX('N04-S05'!$AK$18:$AK$199,2*(ROWS(S$150:S157)-1)+1)),"")</f>
        <v/>
      </c>
      <c r="T157" s="31" t="str">
        <f ca="1">IFERROR(IF(AI157&lt;&gt;"","",INDEX('N04-S05'!$BI$18:$BI$199,2*(ROWS(T$150:T157)-1)+1)),"")</f>
        <v/>
      </c>
      <c r="U157" s="31" t="str">
        <f ca="1">IFERROR(IF(AI157&lt;&gt;"","",INDEX('N04-S05'!$BH$18:$BH$199,2*(ROWS(U$150:U157)-1)+1)),"")</f>
        <v/>
      </c>
      <c r="V157" s="13" t="str">
        <f ca="1">IFERROR(IF(AI157&lt;&gt;"","",INDEX('N04-S05'!$AN$18:$AN$199,2*(ROWS(V$150:V157)-1)+1)),"")</f>
        <v/>
      </c>
      <c r="W157" s="207"/>
      <c r="X157" s="207"/>
      <c r="Y157" s="13">
        <f ca="1">IFERROR(IF(AI157&lt;&gt;"",INDEX('N04-S05'!$AE$18:$AE$199,2*(ROWS(Y$150:Y157)-1)+1),""),"")</f>
        <v>0</v>
      </c>
      <c r="AA157" s="13" t="str">
        <f ca="1">IFERROR(IF($AI157&lt;&gt;"",INDEX('N04-S05'!$AH$18:$AH$199,2*(ROWS(AA$150:AA157)-1)+1),""),"")</f>
        <v/>
      </c>
      <c r="AB157" s="13">
        <f ca="1">IFERROR(IF($AI157&lt;&gt;"",INDEX('N04-S05'!$AB$18:$AB$199,2*(ROWS(AB$150:AB157)-1)+1),""),"")</f>
        <v>0</v>
      </c>
      <c r="AC157" s="10" t="str">
        <f ca="1">IFERROR(IF(AI157&lt;&gt;"",ROUND(INDEX('N04-S05'!$BB$18:$BB$199,2*(ROWS(AC$150:AC157)-1)+1),3),""),"")</f>
        <v/>
      </c>
      <c r="AD157" s="10" t="str">
        <f ca="1">IFERROR(IF(AI157&lt;&gt;"",ROUND(INDEX('N04-S05'!$BC$18:$BC$199,2*(ROWS(AD$150:AD157)-1)+1),3),""),"")</f>
        <v/>
      </c>
      <c r="AE157" s="207"/>
      <c r="AF157" s="25" t="str">
        <f ca="1">IFERROR(IF(AI157&lt;&gt;"",INDEX('N04-S05'!$AK$18:$AK$199,2*(ROWS(AF$150:AF157)-1)+1),""),"")</f>
        <v/>
      </c>
      <c r="AG157" s="31">
        <f ca="1">IFERROR(IF(AI157&lt;&gt;"",INDEX('N04-S05'!$BI$18:$BI$199,2*(ROWS(AG$150:AG157)-1)+1),""),"")</f>
        <v>0</v>
      </c>
      <c r="AH157" s="31" t="str">
        <f ca="1">IFERROR(IF(AI157&lt;&gt;"",INDEX('N04-S05'!$BH$18:$BH$199,2*(ROWS(AH$150:AH157)-1)+1),""),"")</f>
        <v/>
      </c>
      <c r="AI157" t="str">
        <f ca="1">IFERROR(INDEX('N04-S05'!$BQ$18:$BQ$199,2*(ROWS(AI$150:AI157)-1)+1),"")</f>
        <v>Submit for Review</v>
      </c>
      <c r="AJ157" s="25" t="str">
        <f>IFERROR(INDEX('N04-S05'!$BD$18:$BD$199,2*(ROWS(AJ$150:AJ157)-1)+1),"")</f>
        <v/>
      </c>
      <c r="AK157" s="25" t="str">
        <f>IFERROR(INDEX('N04-S05'!$BE$18:$BE$199,2*(ROWS(AK$150:AK157)-1)+1),"")</f>
        <v/>
      </c>
      <c r="AL157" s="207"/>
      <c r="AM157" s="207"/>
      <c r="AN157" s="207"/>
      <c r="AO157">
        <f>IFERROR(INDEX('N04-S05'!$B$18:$B$199,2*(ROWS(AO$150:AO157)-1)+1),"")</f>
        <v>8</v>
      </c>
      <c r="AP157" s="189"/>
      <c r="AQ157">
        <f>IFERROR(INDEX('N04-S05'!$C$18:$C$199,2*(ROWS(AQ$150:AQ157)-1)+1),"")</f>
        <v>0</v>
      </c>
      <c r="AR157">
        <f>IFERROR(INDEX('N04-S05'!$L$18:$L$199,2*(ROWS(AR$150:AR157)-1)+1),"")</f>
        <v>0</v>
      </c>
      <c r="AS157">
        <f>IFERROR(INDEX('N04-S05'!$T$18:$T$199,2*(ROWS(AS$150:AS157)-1)+1),"")</f>
        <v>0</v>
      </c>
      <c r="AT157" s="13" t="str">
        <f>IFERROR(INDEX('N04-S05'!$AY$18:$AY$199,2*(ROWS(AT$150:AT157)-1)+1),"")</f>
        <v/>
      </c>
      <c r="AU157" s="13" t="str">
        <f>IFERROR(INDEX('N04-S05'!$AZ$18:$AZ$199,2*(ROWS(AU$150:AU157)-1)+1),"")</f>
        <v/>
      </c>
      <c r="AV157" t="str">
        <f>IFERROR(INDEX('N04-S05'!$BA$18:$BA$199,2*(ROWS(AV$150:AV157)-1)+1),"")</f>
        <v/>
      </c>
      <c r="AW157" t="str">
        <f>IFERROR(INDEX('N04-S05'!$BF$18:$BF$199,2*(ROWS(AW$150:AW157)-1)+1),"")</f>
        <v/>
      </c>
      <c r="AX157" t="s">
        <v>820</v>
      </c>
      <c r="AY157" s="170"/>
      <c r="AZ157" s="170"/>
      <c r="BA157" s="170"/>
      <c r="BB157" s="170"/>
      <c r="BC157" s="170"/>
      <c r="BD157" s="170"/>
      <c r="BE157" s="170"/>
      <c r="BF157" s="170"/>
      <c r="BG157" s="170"/>
      <c r="BH157" s="170"/>
      <c r="BI157" s="170"/>
      <c r="BJ157" s="170"/>
      <c r="BK157" s="170"/>
    </row>
    <row r="158" spans="1:63" ht="14.25" customHeight="1">
      <c r="A158" s="14">
        <f t="shared" si="20"/>
        <v>0</v>
      </c>
      <c r="B158" t="str">
        <f t="shared" si="21"/>
        <v/>
      </c>
      <c r="C158" t="str">
        <f>IFERROR(IF(INDEX('N04-S05'!$BO$18:$BO$199,2*(ROWS($C$150:C158)-1)+1)="","",INDEX('N04-S05'!$BO$18:$BO$199,2*(ROWS($C$150:C158)-1)+1)),"")</f>
        <v/>
      </c>
      <c r="D158" t="s">
        <v>50</v>
      </c>
      <c r="E158" t="s">
        <v>38</v>
      </c>
      <c r="F158" t="s">
        <v>50</v>
      </c>
      <c r="G158" t="str">
        <f>IFERROR(INDEX('N04-S05'!$BG$18:$BG$199,2*(ROWS(G$150:G158)-1)+1),"")</f>
        <v/>
      </c>
      <c r="H158" s="207"/>
      <c r="I158" s="189"/>
      <c r="J158" s="189"/>
      <c r="K158" s="189"/>
      <c r="L158" s="13" t="str">
        <f ca="1">IFERROR(ROUND(IF($AI158&lt;&gt;"","",INDEX('N04-S05'!$AE$18:$AE$199,2*(ROWS(L$150:L158)-1)+1)),2),"")</f>
        <v/>
      </c>
      <c r="N158" s="13" t="str">
        <f ca="1">IFERROR(ROUND(IF($AI158&lt;&gt;"","",INDEX('N04-S05'!$AH$18:$AH$199,2*(ROWS(N$150:N158)-1)+1)),2),"")</f>
        <v/>
      </c>
      <c r="O158" s="13" t="str">
        <f ca="1">IFERROR(ROUND(IF($AI158&lt;&gt;"","",INDEX('N04-S05'!$AB$18:$AB$199,2*(ROWS(O$150:O158)-1)+1)),2),"")</f>
        <v/>
      </c>
      <c r="P158" s="10" t="str">
        <f ca="1">IFERROR(IF(AI158&lt;&gt;"","",ROUND(INDEX('N04-S05'!$BB$18:$BB$199,2*(ROWS(P$150:P158)-1)+1),3)),"")</f>
        <v/>
      </c>
      <c r="Q158" s="10" t="str">
        <f ca="1">IFERROR(IF(AI158&lt;&gt;"","",ROUND(INDEX('N04-S05'!$BC$18:$BC$199,2*(ROWS(Q$150:Q158)-1)+1),3)),"")</f>
        <v/>
      </c>
      <c r="R158" s="207"/>
      <c r="S158" s="25" t="str">
        <f ca="1">IFERROR(IF(AI158&lt;&gt;"","",INDEX('N04-S05'!$AK$18:$AK$199,2*(ROWS(S$150:S158)-1)+1)),"")</f>
        <v/>
      </c>
      <c r="T158" s="31" t="str">
        <f ca="1">IFERROR(IF(AI158&lt;&gt;"","",INDEX('N04-S05'!$BI$18:$BI$199,2*(ROWS(T$150:T158)-1)+1)),"")</f>
        <v/>
      </c>
      <c r="U158" s="31" t="str">
        <f ca="1">IFERROR(IF(AI158&lt;&gt;"","",INDEX('N04-S05'!$BH$18:$BH$199,2*(ROWS(U$150:U158)-1)+1)),"")</f>
        <v/>
      </c>
      <c r="V158" s="13" t="str">
        <f ca="1">IFERROR(IF(AI158&lt;&gt;"","",INDEX('N04-S05'!$AN$18:$AN$199,2*(ROWS(V$150:V158)-1)+1)),"")</f>
        <v/>
      </c>
      <c r="W158" s="207"/>
      <c r="X158" s="207"/>
      <c r="Y158" s="13">
        <f ca="1">IFERROR(IF(AI158&lt;&gt;"",INDEX('N04-S05'!$AE$18:$AE$199,2*(ROWS(Y$150:Y158)-1)+1),""),"")</f>
        <v>0</v>
      </c>
      <c r="AA158" s="13" t="str">
        <f ca="1">IFERROR(IF($AI158&lt;&gt;"",INDEX('N04-S05'!$AH$18:$AH$199,2*(ROWS(AA$150:AA158)-1)+1),""),"")</f>
        <v/>
      </c>
      <c r="AB158" s="13">
        <f ca="1">IFERROR(IF($AI158&lt;&gt;"",INDEX('N04-S05'!$AB$18:$AB$199,2*(ROWS(AB$150:AB158)-1)+1),""),"")</f>
        <v>0</v>
      </c>
      <c r="AC158" s="10" t="str">
        <f ca="1">IFERROR(IF(AI158&lt;&gt;"",ROUND(INDEX('N04-S05'!$BB$18:$BB$199,2*(ROWS(AC$150:AC158)-1)+1),3),""),"")</f>
        <v/>
      </c>
      <c r="AD158" s="10" t="str">
        <f ca="1">IFERROR(IF(AI158&lt;&gt;"",ROUND(INDEX('N04-S05'!$BC$18:$BC$199,2*(ROWS(AD$150:AD158)-1)+1),3),""),"")</f>
        <v/>
      </c>
      <c r="AE158" s="207"/>
      <c r="AF158" s="25" t="str">
        <f ca="1">IFERROR(IF(AI158&lt;&gt;"",INDEX('N04-S05'!$AK$18:$AK$199,2*(ROWS(AF$150:AF158)-1)+1),""),"")</f>
        <v/>
      </c>
      <c r="AG158" s="31">
        <f ca="1">IFERROR(IF(AI158&lt;&gt;"",INDEX('N04-S05'!$BI$18:$BI$199,2*(ROWS(AG$150:AG158)-1)+1),""),"")</f>
        <v>0</v>
      </c>
      <c r="AH158" s="31" t="str">
        <f ca="1">IFERROR(IF(AI158&lt;&gt;"",INDEX('N04-S05'!$BH$18:$BH$199,2*(ROWS(AH$150:AH158)-1)+1),""),"")</f>
        <v/>
      </c>
      <c r="AI158" t="str">
        <f ca="1">IFERROR(INDEX('N04-S05'!$BQ$18:$BQ$199,2*(ROWS(AI$150:AI158)-1)+1),"")</f>
        <v>Submit for Review</v>
      </c>
      <c r="AJ158" s="25" t="str">
        <f>IFERROR(INDEX('N04-S05'!$BD$18:$BD$199,2*(ROWS(AJ$150:AJ158)-1)+1),"")</f>
        <v/>
      </c>
      <c r="AK158" s="25" t="str">
        <f>IFERROR(INDEX('N04-S05'!$BE$18:$BE$199,2*(ROWS(AK$150:AK158)-1)+1),"")</f>
        <v/>
      </c>
      <c r="AL158" s="207"/>
      <c r="AM158" s="207"/>
      <c r="AN158" s="207"/>
      <c r="AO158">
        <f>IFERROR(INDEX('N04-S05'!$B$18:$B$199,2*(ROWS(AO$150:AO158)-1)+1),"")</f>
        <v>9</v>
      </c>
      <c r="AP158" s="189"/>
      <c r="AQ158">
        <f>IFERROR(INDEX('N04-S05'!$C$18:$C$199,2*(ROWS(AQ$150:AQ158)-1)+1),"")</f>
        <v>0</v>
      </c>
      <c r="AR158">
        <f>IFERROR(INDEX('N04-S05'!$L$18:$L$199,2*(ROWS(AR$150:AR158)-1)+1),"")</f>
        <v>0</v>
      </c>
      <c r="AS158">
        <f>IFERROR(INDEX('N04-S05'!$T$18:$T$199,2*(ROWS(AS$150:AS158)-1)+1),"")</f>
        <v>0</v>
      </c>
      <c r="AT158" s="13" t="str">
        <f>IFERROR(INDEX('N04-S05'!$AY$18:$AY$199,2*(ROWS(AT$150:AT158)-1)+1),"")</f>
        <v/>
      </c>
      <c r="AU158" s="13" t="str">
        <f>IFERROR(INDEX('N04-S05'!$AZ$18:$AZ$199,2*(ROWS(AU$150:AU158)-1)+1),"")</f>
        <v/>
      </c>
      <c r="AV158" t="str">
        <f>IFERROR(INDEX('N04-S05'!$BA$18:$BA$199,2*(ROWS(AV$150:AV158)-1)+1),"")</f>
        <v/>
      </c>
      <c r="AW158" t="str">
        <f>IFERROR(INDEX('N04-S05'!$BF$18:$BF$199,2*(ROWS(AW$150:AW158)-1)+1),"")</f>
        <v/>
      </c>
      <c r="AX158" t="s">
        <v>820</v>
      </c>
      <c r="AY158" s="170"/>
      <c r="AZ158" s="170"/>
      <c r="BA158" s="170"/>
      <c r="BB158" s="170"/>
      <c r="BC158" s="170"/>
      <c r="BD158" s="170"/>
      <c r="BE158" s="170"/>
      <c r="BF158" s="170"/>
      <c r="BG158" s="170"/>
      <c r="BH158" s="170"/>
      <c r="BI158" s="170"/>
      <c r="BJ158" s="170"/>
      <c r="BK158" s="170"/>
    </row>
    <row r="159" spans="1:63">
      <c r="A159" s="14">
        <f t="shared" si="20"/>
        <v>0</v>
      </c>
      <c r="B159" t="str">
        <f t="shared" si="21"/>
        <v/>
      </c>
      <c r="C159" t="str">
        <f>IFERROR(IF(INDEX('N04-S05'!$BO$18:$BO$199,2*(ROWS($C$150:C159)-1)+1)="","",INDEX('N04-S05'!$BO$18:$BO$199,2*(ROWS($C$150:C159)-1)+1)),"")</f>
        <v/>
      </c>
      <c r="D159" t="s">
        <v>50</v>
      </c>
      <c r="E159" t="s">
        <v>38</v>
      </c>
      <c r="F159" t="s">
        <v>50</v>
      </c>
      <c r="G159" t="str">
        <f>IFERROR(INDEX('N04-S05'!$BG$18:$BG$199,2*(ROWS(G$150:G159)-1)+1),"")</f>
        <v/>
      </c>
      <c r="H159" s="207"/>
      <c r="I159" s="189"/>
      <c r="J159" s="189"/>
      <c r="K159" s="189"/>
      <c r="L159" s="13" t="str">
        <f ca="1">IFERROR(ROUND(IF($AI159&lt;&gt;"","",INDEX('N04-S05'!$AE$18:$AE$199,2*(ROWS(L$150:L159)-1)+1)),2),"")</f>
        <v/>
      </c>
      <c r="N159" s="13" t="str">
        <f ca="1">IFERROR(ROUND(IF($AI159&lt;&gt;"","",INDEX('N04-S05'!$AH$18:$AH$199,2*(ROWS(N$150:N159)-1)+1)),2),"")</f>
        <v/>
      </c>
      <c r="O159" s="13" t="str">
        <f ca="1">IFERROR(ROUND(IF($AI159&lt;&gt;"","",INDEX('N04-S05'!$AB$18:$AB$199,2*(ROWS(O$150:O159)-1)+1)),2),"")</f>
        <v/>
      </c>
      <c r="P159" s="10" t="str">
        <f ca="1">IFERROR(IF(AI159&lt;&gt;"","",ROUND(INDEX('N04-S05'!$BB$18:$BB$199,2*(ROWS(P$150:P159)-1)+1),3)),"")</f>
        <v/>
      </c>
      <c r="Q159" s="10" t="str">
        <f ca="1">IFERROR(IF(AI159&lt;&gt;"","",ROUND(INDEX('N04-S05'!$BC$18:$BC$199,2*(ROWS(Q$150:Q159)-1)+1),3)),"")</f>
        <v/>
      </c>
      <c r="R159" s="207"/>
      <c r="S159" s="25" t="str">
        <f ca="1">IFERROR(IF(AI159&lt;&gt;"","",INDEX('N04-S05'!$AK$18:$AK$199,2*(ROWS(S$150:S159)-1)+1)),"")</f>
        <v/>
      </c>
      <c r="T159" s="31" t="str">
        <f ca="1">IFERROR(IF(AI159&lt;&gt;"","",INDEX('N04-S05'!$BI$18:$BI$199,2*(ROWS(T$150:T159)-1)+1)),"")</f>
        <v/>
      </c>
      <c r="U159" s="31" t="str">
        <f ca="1">IFERROR(IF(AI159&lt;&gt;"","",INDEX('N04-S05'!$BH$18:$BH$199,2*(ROWS(U$150:U159)-1)+1)),"")</f>
        <v/>
      </c>
      <c r="V159" s="13" t="str">
        <f ca="1">IFERROR(IF(AI159&lt;&gt;"","",INDEX('N04-S05'!$AN$18:$AN$199,2*(ROWS(V$150:V159)-1)+1)),"")</f>
        <v/>
      </c>
      <c r="W159" s="207"/>
      <c r="X159" s="207"/>
      <c r="Y159" s="13">
        <f ca="1">IFERROR(IF(AI159&lt;&gt;"",INDEX('N04-S05'!$AE$18:$AE$199,2*(ROWS(Y$150:Y159)-1)+1),""),"")</f>
        <v>0</v>
      </c>
      <c r="AA159" s="13" t="str">
        <f ca="1">IFERROR(IF($AI159&lt;&gt;"",INDEX('N04-S05'!$AH$18:$AH$199,2*(ROWS(AA$150:AA159)-1)+1),""),"")</f>
        <v/>
      </c>
      <c r="AB159" s="13">
        <f ca="1">IFERROR(IF($AI159&lt;&gt;"",INDEX('N04-S05'!$AB$18:$AB$199,2*(ROWS(AB$150:AB159)-1)+1),""),"")</f>
        <v>0</v>
      </c>
      <c r="AC159" s="10" t="str">
        <f ca="1">IFERROR(IF(AI159&lt;&gt;"",ROUND(INDEX('N04-S05'!$BB$18:$BB$199,2*(ROWS(AC$150:AC159)-1)+1),3),""),"")</f>
        <v/>
      </c>
      <c r="AD159" s="10" t="str">
        <f ca="1">IFERROR(IF(AI159&lt;&gt;"",ROUND(INDEX('N04-S05'!$BC$18:$BC$199,2*(ROWS(AD$150:AD159)-1)+1),3),""),"")</f>
        <v/>
      </c>
      <c r="AE159" s="207"/>
      <c r="AF159" s="25" t="str">
        <f ca="1">IFERROR(IF(AI159&lt;&gt;"",INDEX('N04-S05'!$AK$18:$AK$199,2*(ROWS(AF$150:AF159)-1)+1),""),"")</f>
        <v/>
      </c>
      <c r="AG159" s="31">
        <f ca="1">IFERROR(IF(AI159&lt;&gt;"",INDEX('N04-S05'!$BI$18:$BI$199,2*(ROWS(AG$150:AG159)-1)+1),""),"")</f>
        <v>0</v>
      </c>
      <c r="AH159" s="31" t="str">
        <f ca="1">IFERROR(IF(AI159&lt;&gt;"",INDEX('N04-S05'!$BH$18:$BH$199,2*(ROWS(AH$150:AH159)-1)+1),""),"")</f>
        <v/>
      </c>
      <c r="AI159" t="str">
        <f ca="1">IFERROR(INDEX('N04-S05'!$BQ$18:$BQ$199,2*(ROWS(AI$150:AI159)-1)+1),"")</f>
        <v>Submit for Review</v>
      </c>
      <c r="AJ159" s="25" t="str">
        <f>IFERROR(INDEX('N04-S05'!$BD$18:$BD$199,2*(ROWS(AJ$150:AJ159)-1)+1),"")</f>
        <v/>
      </c>
      <c r="AK159" s="25" t="str">
        <f>IFERROR(INDEX('N04-S05'!$BE$18:$BE$199,2*(ROWS(AK$150:AK159)-1)+1),"")</f>
        <v/>
      </c>
      <c r="AL159" s="207"/>
      <c r="AM159" s="207"/>
      <c r="AN159" s="207"/>
      <c r="AO159">
        <f>IFERROR(INDEX('N04-S05'!$B$18:$B$199,2*(ROWS(AO$150:AO159)-1)+1),"")</f>
        <v>10</v>
      </c>
      <c r="AP159" s="189"/>
      <c r="AQ159">
        <f>IFERROR(INDEX('N04-S05'!$C$18:$C$199,2*(ROWS(AQ$150:AQ159)-1)+1),"")</f>
        <v>0</v>
      </c>
      <c r="AR159">
        <f>IFERROR(INDEX('N04-S05'!$L$18:$L$199,2*(ROWS(AR$150:AR159)-1)+1),"")</f>
        <v>0</v>
      </c>
      <c r="AS159">
        <f>IFERROR(INDEX('N04-S05'!$T$18:$T$199,2*(ROWS(AS$150:AS159)-1)+1),"")</f>
        <v>0</v>
      </c>
      <c r="AT159" s="13" t="str">
        <f>IFERROR(INDEX('N04-S05'!$AY$18:$AY$199,2*(ROWS(AT$150:AT159)-1)+1),"")</f>
        <v/>
      </c>
      <c r="AU159" s="13" t="str">
        <f>IFERROR(INDEX('N04-S05'!$AZ$18:$AZ$199,2*(ROWS(AU$150:AU159)-1)+1),"")</f>
        <v/>
      </c>
      <c r="AV159" t="str">
        <f>IFERROR(INDEX('N04-S05'!$BA$18:$BA$199,2*(ROWS(AV$150:AV159)-1)+1),"")</f>
        <v/>
      </c>
      <c r="AW159" t="str">
        <f>IFERROR(INDEX('N04-S05'!$BF$18:$BF$199,2*(ROWS(AW$150:AW159)-1)+1),"")</f>
        <v/>
      </c>
      <c r="AX159" t="s">
        <v>820</v>
      </c>
      <c r="AY159" s="170"/>
      <c r="AZ159" s="170"/>
      <c r="BA159" s="170"/>
      <c r="BB159" s="170"/>
      <c r="BC159" s="170"/>
      <c r="BD159" s="170"/>
      <c r="BE159" s="170"/>
      <c r="BF159" s="170"/>
      <c r="BG159" s="170"/>
      <c r="BH159" s="170"/>
      <c r="BI159" s="170"/>
      <c r="BJ159" s="170"/>
      <c r="BK159" s="170"/>
    </row>
    <row r="160" spans="1:63">
      <c r="A160" s="14">
        <f t="shared" si="20"/>
        <v>0</v>
      </c>
      <c r="B160" t="str">
        <f t="shared" si="21"/>
        <v/>
      </c>
      <c r="C160" t="str">
        <f>IFERROR(IF(INDEX('N04-S05'!$BO$18:$BO$199,2*(ROWS($C$150:C160)-1)+1)="","",INDEX('N04-S05'!$BO$18:$BO$199,2*(ROWS($C$150:C160)-1)+1)),"")</f>
        <v/>
      </c>
      <c r="D160" t="s">
        <v>50</v>
      </c>
      <c r="E160" t="s">
        <v>38</v>
      </c>
      <c r="F160" t="s">
        <v>50</v>
      </c>
      <c r="G160">
        <f>IFERROR(INDEX('N04-S05'!$BG$18:$BG$199,2*(ROWS(G$150:G160)-1)+1),"")</f>
        <v>0</v>
      </c>
      <c r="H160" s="207"/>
      <c r="I160" s="189"/>
      <c r="J160" s="189"/>
      <c r="K160" s="189"/>
      <c r="L160" s="13" t="str">
        <f>IFERROR(ROUND(IF($AI160&lt;&gt;"","",INDEX('N04-S05'!$AE$18:$AE$199,2*(ROWS(L$150:L160)-1)+1)),2),"")</f>
        <v/>
      </c>
      <c r="N160" s="13" t="str">
        <f>IFERROR(ROUND(IF($AI160&lt;&gt;"","",INDEX('N04-S05'!$AH$18:$AH$199,2*(ROWS(N$150:N160)-1)+1)),2),"")</f>
        <v/>
      </c>
      <c r="O160" s="13" t="str">
        <f>IFERROR(ROUND(IF($AI160&lt;&gt;"","",INDEX('N04-S05'!$AB$18:$AB$199,2*(ROWS(O$150:O160)-1)+1)),2),"")</f>
        <v/>
      </c>
      <c r="P160" s="10" t="str">
        <f>IFERROR(IF(AI160&lt;&gt;"","",ROUND(INDEX('N04-S05'!$BB$18:$BB$199,2*(ROWS(P$150:P160)-1)+1),3)),"")</f>
        <v/>
      </c>
      <c r="Q160" s="10" t="str">
        <f>IFERROR(IF(AI160&lt;&gt;"","",ROUND(INDEX('N04-S05'!$BC$18:$BC$199,2*(ROWS(Q$150:Q160)-1)+1),3)),"")</f>
        <v/>
      </c>
      <c r="R160" s="207"/>
      <c r="S160" s="25" t="str">
        <f>IFERROR(IF(AI160&lt;&gt;"","",INDEX('N04-S05'!$AK$18:$AK$199,2*(ROWS(S$150:S160)-1)+1)),"")</f>
        <v/>
      </c>
      <c r="T160" s="31" t="str">
        <f>IFERROR(IF(AI160&lt;&gt;"","",INDEX('N04-S05'!$BI$18:$BI$199,2*(ROWS(T$150:T160)-1)+1)),"")</f>
        <v/>
      </c>
      <c r="U160" s="31" t="str">
        <f>IFERROR(IF(AI160&lt;&gt;"","",INDEX('N04-S05'!$BH$18:$BH$199,2*(ROWS(U$150:U160)-1)+1)),"")</f>
        <v/>
      </c>
      <c r="V160" s="13" t="str">
        <f>IFERROR(IF(AI160&lt;&gt;"","",INDEX('N04-S05'!$AN$18:$AN$199,2*(ROWS(V$150:V160)-1)+1)),"")</f>
        <v/>
      </c>
      <c r="W160" s="207"/>
      <c r="X160" s="207"/>
      <c r="Y160" s="13">
        <f>IFERROR(IF(AI160&lt;&gt;"",INDEX('N04-S05'!$AE$18:$AE$199,2*(ROWS(Y$150:Y160)-1)+1),""),"")</f>
        <v>0</v>
      </c>
      <c r="AA160" s="13">
        <f>IFERROR(IF($AI160&lt;&gt;"",INDEX('N04-S05'!$AH$18:$AH$199,2*(ROWS(AA$150:AA160)-1)+1),""),"")</f>
        <v>0</v>
      </c>
      <c r="AB160" s="13">
        <f>IFERROR(IF($AI160&lt;&gt;"",INDEX('N04-S05'!$AB$18:$AB$199,2*(ROWS(AB$150:AB160)-1)+1),""),"")</f>
        <v>0</v>
      </c>
      <c r="AC160" s="10">
        <f>IFERROR(IF(AI160&lt;&gt;"",ROUND(INDEX('N04-S05'!$BB$18:$BB$199,2*(ROWS(AC$150:AC160)-1)+1),3),""),"")</f>
        <v>0</v>
      </c>
      <c r="AD160" s="10">
        <f>IFERROR(IF(AI160&lt;&gt;"",ROUND(INDEX('N04-S05'!$BC$18:$BC$199,2*(ROWS(AD$150:AD160)-1)+1),3),""),"")</f>
        <v>0</v>
      </c>
      <c r="AE160" s="207"/>
      <c r="AF160" s="25">
        <f>IFERROR(IF(AI160&lt;&gt;"",INDEX('N04-S05'!$AK$18:$AK$199,2*(ROWS(AF$150:AF160)-1)+1),""),"")</f>
        <v>0</v>
      </c>
      <c r="AG160" s="31">
        <f>IFERROR(IF(AI160&lt;&gt;"",INDEX('N04-S05'!$BI$18:$BI$199,2*(ROWS(AG$150:AG160)-1)+1),""),"")</f>
        <v>0</v>
      </c>
      <c r="AH160" s="31">
        <f>IFERROR(IF(AI160&lt;&gt;"",INDEX('N04-S05'!$BH$18:$BH$199,2*(ROWS(AH$150:AH160)-1)+1),""),"")</f>
        <v>0</v>
      </c>
      <c r="AI160">
        <f>IFERROR(INDEX('N04-S05'!$BQ$18:$BQ$199,2*(ROWS(AI$150:AI160)-1)+1),"")</f>
        <v>0</v>
      </c>
      <c r="AJ160" s="25">
        <f>IFERROR(INDEX('N04-S05'!$BD$18:$BD$199,2*(ROWS(AJ$150:AJ160)-1)+1),"")</f>
        <v>0</v>
      </c>
      <c r="AK160" s="25">
        <f>IFERROR(INDEX('N04-S05'!$BE$18:$BE$199,2*(ROWS(AK$150:AK160)-1)+1),"")</f>
        <v>0</v>
      </c>
      <c r="AL160" s="207"/>
      <c r="AM160" s="207"/>
      <c r="AN160" s="207"/>
      <c r="AO160">
        <f>IFERROR(INDEX('N04-S05'!$B$18:$B$199,2*(ROWS(AO$150:AO160)-1)+1),"")</f>
        <v>0</v>
      </c>
      <c r="AP160" s="189"/>
      <c r="AQ160">
        <f>IFERROR(INDEX('N04-S05'!$C$18:$C$199,2*(ROWS(AQ$150:AQ160)-1)+1),"")</f>
        <v>0</v>
      </c>
      <c r="AR160">
        <f>IFERROR(INDEX('N04-S05'!$L$18:$L$199,2*(ROWS(AR$150:AR160)-1)+1),"")</f>
        <v>0</v>
      </c>
      <c r="AS160">
        <f>IFERROR(INDEX('N04-S05'!$T$18:$T$199,2*(ROWS(AS$150:AS160)-1)+1),"")</f>
        <v>0</v>
      </c>
      <c r="AT160" s="13">
        <f>IFERROR(INDEX('N04-S05'!$AY$18:$AY$199,2*(ROWS(AT$150:AT160)-1)+1),"")</f>
        <v>0</v>
      </c>
      <c r="AU160" s="13">
        <f>IFERROR(INDEX('N04-S05'!$AZ$18:$AZ$199,2*(ROWS(AU$150:AU160)-1)+1),"")</f>
        <v>0</v>
      </c>
      <c r="AV160">
        <f>IFERROR(INDEX('N04-S05'!$BA$18:$BA$199,2*(ROWS(AV$150:AV160)-1)+1),"")</f>
        <v>0</v>
      </c>
      <c r="AW160">
        <f>IFERROR(INDEX('N04-S05'!$BF$18:$BF$199,2*(ROWS(AW$150:AW160)-1)+1),"")</f>
        <v>0</v>
      </c>
      <c r="AX160" t="s">
        <v>820</v>
      </c>
      <c r="AY160" s="170"/>
      <c r="AZ160" s="170"/>
      <c r="BA160" s="170"/>
      <c r="BB160" s="170"/>
      <c r="BC160" s="170"/>
      <c r="BD160" s="170"/>
      <c r="BE160" s="170"/>
      <c r="BF160" s="170"/>
      <c r="BG160" s="170"/>
      <c r="BH160" s="170"/>
      <c r="BI160" s="170"/>
      <c r="BJ160" s="170"/>
      <c r="BK160" s="170"/>
    </row>
    <row r="161" spans="1:63">
      <c r="A161" s="14">
        <f t="shared" si="20"/>
        <v>0</v>
      </c>
      <c r="B161" t="str">
        <f t="shared" si="21"/>
        <v/>
      </c>
      <c r="C161" t="str">
        <f>IFERROR(IF(INDEX('N04-S05'!$BO$18:$BO$199,2*(ROWS($C$150:C161)-1)+1)="","",INDEX('N04-S05'!$BO$18:$BO$199,2*(ROWS($C$150:C161)-1)+1)),"")</f>
        <v/>
      </c>
      <c r="D161" t="s">
        <v>50</v>
      </c>
      <c r="E161" t="s">
        <v>38</v>
      </c>
      <c r="F161" t="s">
        <v>50</v>
      </c>
      <c r="G161">
        <f>IFERROR(INDEX('N04-S05'!$BG$18:$BG$199,2*(ROWS(G$150:G161)-1)+1),"")</f>
        <v>0</v>
      </c>
      <c r="H161" s="207"/>
      <c r="I161" s="189"/>
      <c r="J161" s="189"/>
      <c r="K161" s="189"/>
      <c r="L161" s="13" t="str">
        <f>IFERROR(ROUND(IF($AI161&lt;&gt;"","",INDEX('N04-S05'!$AE$18:$AE$199,2*(ROWS(L$150:L161)-1)+1)),2),"")</f>
        <v/>
      </c>
      <c r="N161" s="13" t="str">
        <f>IFERROR(ROUND(IF($AI161&lt;&gt;"","",INDEX('N04-S05'!$AH$18:$AH$199,2*(ROWS(N$150:N161)-1)+1)),2),"")</f>
        <v/>
      </c>
      <c r="O161" s="13" t="str">
        <f>IFERROR(ROUND(IF($AI161&lt;&gt;"","",INDEX('N04-S05'!$AB$18:$AB$199,2*(ROWS(O$150:O161)-1)+1)),2),"")</f>
        <v/>
      </c>
      <c r="P161" s="10" t="str">
        <f>IFERROR(IF(AI161&lt;&gt;"","",ROUND(INDEX('N04-S05'!$BB$18:$BB$199,2*(ROWS(P$150:P161)-1)+1),3)),"")</f>
        <v/>
      </c>
      <c r="Q161" s="10" t="str">
        <f>IFERROR(IF(AI161&lt;&gt;"","",ROUND(INDEX('N04-S05'!$BC$18:$BC$199,2*(ROWS(Q$150:Q161)-1)+1),3)),"")</f>
        <v/>
      </c>
      <c r="R161" s="207"/>
      <c r="S161" s="25" t="str">
        <f>IFERROR(IF(AI161&lt;&gt;"","",INDEX('N04-S05'!$AK$18:$AK$199,2*(ROWS(S$150:S161)-1)+1)),"")</f>
        <v/>
      </c>
      <c r="T161" s="31" t="str">
        <f>IFERROR(IF(AI161&lt;&gt;"","",INDEX('N04-S05'!$BI$18:$BI$199,2*(ROWS(T$150:T161)-1)+1)),"")</f>
        <v/>
      </c>
      <c r="U161" s="31" t="str">
        <f>IFERROR(IF(AI161&lt;&gt;"","",INDEX('N04-S05'!$BH$18:$BH$199,2*(ROWS(U$150:U161)-1)+1)),"")</f>
        <v/>
      </c>
      <c r="V161" s="13" t="str">
        <f>IFERROR(IF(AI161&lt;&gt;"","",INDEX('N04-S05'!$AN$18:$AN$199,2*(ROWS(V$150:V161)-1)+1)),"")</f>
        <v/>
      </c>
      <c r="W161" s="207"/>
      <c r="X161" s="207"/>
      <c r="Y161" s="13">
        <f>IFERROR(IF(AI161&lt;&gt;"",INDEX('N04-S05'!$AE$18:$AE$199,2*(ROWS(Y$150:Y161)-1)+1),""),"")</f>
        <v>0</v>
      </c>
      <c r="AA161" s="13">
        <f>IFERROR(IF($AI161&lt;&gt;"",INDEX('N04-S05'!$AH$18:$AH$199,2*(ROWS(AA$150:AA161)-1)+1),""),"")</f>
        <v>0</v>
      </c>
      <c r="AB161" s="13">
        <f>IFERROR(IF($AI161&lt;&gt;"",INDEX('N04-S05'!$AB$18:$AB$199,2*(ROWS(AB$150:AB161)-1)+1),""),"")</f>
        <v>0</v>
      </c>
      <c r="AC161" s="10">
        <f>IFERROR(IF(AI161&lt;&gt;"",ROUND(INDEX('N04-S05'!$BB$18:$BB$199,2*(ROWS(AC$150:AC161)-1)+1),3),""),"")</f>
        <v>0</v>
      </c>
      <c r="AD161" s="10">
        <f>IFERROR(IF(AI161&lt;&gt;"",ROUND(INDEX('N04-S05'!$BC$18:$BC$199,2*(ROWS(AD$150:AD161)-1)+1),3),""),"")</f>
        <v>0</v>
      </c>
      <c r="AE161" s="207"/>
      <c r="AF161" s="25">
        <f>IFERROR(IF(AI161&lt;&gt;"",INDEX('N04-S05'!$AK$18:$AK$199,2*(ROWS(AF$150:AF161)-1)+1),""),"")</f>
        <v>0</v>
      </c>
      <c r="AG161" s="31">
        <f>IFERROR(IF(AI161&lt;&gt;"",INDEX('N04-S05'!$BI$18:$BI$199,2*(ROWS(AG$150:AG161)-1)+1),""),"")</f>
        <v>0</v>
      </c>
      <c r="AH161" s="31">
        <f>IFERROR(IF(AI161&lt;&gt;"",INDEX('N04-S05'!$BH$18:$BH$199,2*(ROWS(AH$150:AH161)-1)+1),""),"")</f>
        <v>0</v>
      </c>
      <c r="AI161">
        <f>IFERROR(INDEX('N04-S05'!$BQ$18:$BQ$199,2*(ROWS(AI$150:AI161)-1)+1),"")</f>
        <v>0</v>
      </c>
      <c r="AJ161" s="25">
        <f>IFERROR(INDEX('N04-S05'!$BD$18:$BD$199,2*(ROWS(AJ$150:AJ161)-1)+1),"")</f>
        <v>0</v>
      </c>
      <c r="AK161" s="25">
        <f>IFERROR(INDEX('N04-S05'!$BE$18:$BE$199,2*(ROWS(AK$150:AK161)-1)+1),"")</f>
        <v>0</v>
      </c>
      <c r="AL161" s="207"/>
      <c r="AM161" s="207"/>
      <c r="AN161" s="207"/>
      <c r="AO161">
        <f>IFERROR(INDEX('N04-S05'!$B$18:$B$199,2*(ROWS(AO$150:AO161)-1)+1),"")</f>
        <v>0</v>
      </c>
      <c r="AP161" s="189"/>
      <c r="AQ161">
        <f>IFERROR(INDEX('N04-S05'!$C$18:$C$199,2*(ROWS(AQ$150:AQ161)-1)+1),"")</f>
        <v>0</v>
      </c>
      <c r="AR161">
        <f>IFERROR(INDEX('N04-S05'!$L$18:$L$199,2*(ROWS(AR$150:AR161)-1)+1),"")</f>
        <v>0</v>
      </c>
      <c r="AS161">
        <f>IFERROR(INDEX('N04-S05'!$T$18:$T$199,2*(ROWS(AS$150:AS161)-1)+1),"")</f>
        <v>0</v>
      </c>
      <c r="AT161" s="13">
        <f>IFERROR(INDEX('N04-S05'!$AY$18:$AY$199,2*(ROWS(AT$150:AT161)-1)+1),"")</f>
        <v>0</v>
      </c>
      <c r="AU161" s="13">
        <f>IFERROR(INDEX('N04-S05'!$AZ$18:$AZ$199,2*(ROWS(AU$150:AU161)-1)+1),"")</f>
        <v>0</v>
      </c>
      <c r="AV161">
        <f>IFERROR(INDEX('N04-S05'!$BA$18:$BA$199,2*(ROWS(AV$150:AV161)-1)+1),"")</f>
        <v>0</v>
      </c>
      <c r="AW161">
        <f>IFERROR(INDEX('N04-S05'!$BF$18:$BF$199,2*(ROWS(AW$150:AW161)-1)+1),"")</f>
        <v>0</v>
      </c>
      <c r="AX161" t="s">
        <v>820</v>
      </c>
      <c r="AY161" s="170"/>
      <c r="AZ161" s="170"/>
      <c r="BA161" s="170"/>
      <c r="BB161" s="170"/>
      <c r="BC161" s="170"/>
      <c r="BD161" s="170"/>
      <c r="BE161" s="170"/>
      <c r="BF161" s="170"/>
      <c r="BG161" s="170"/>
      <c r="BH161" s="170"/>
      <c r="BI161" s="170"/>
      <c r="BJ161" s="170"/>
      <c r="BK161" s="170"/>
    </row>
    <row r="162" spans="1:63">
      <c r="A162" s="14">
        <f t="shared" si="20"/>
        <v>0</v>
      </c>
      <c r="B162" t="str">
        <f t="shared" si="21"/>
        <v/>
      </c>
      <c r="C162" t="str">
        <f>IFERROR(IF(INDEX('N04-S05'!$BO$18:$BO$199,2*(ROWS($C$150:C162)-1)+1)="","",INDEX('N04-S05'!$BO$18:$BO$199,2*(ROWS($C$150:C162)-1)+1)),"")</f>
        <v/>
      </c>
      <c r="D162" t="s">
        <v>50</v>
      </c>
      <c r="E162" t="s">
        <v>38</v>
      </c>
      <c r="F162" t="s">
        <v>50</v>
      </c>
      <c r="G162">
        <f>IFERROR(INDEX('N04-S05'!$BG$18:$BG$199,2*(ROWS(G$150:G162)-1)+1),"")</f>
        <v>0</v>
      </c>
      <c r="H162" s="207"/>
      <c r="I162" s="189"/>
      <c r="J162" s="189"/>
      <c r="K162" s="189"/>
      <c r="L162" s="13" t="str">
        <f>IFERROR(ROUND(IF($AI162&lt;&gt;"","",INDEX('N04-S05'!$AE$18:$AE$199,2*(ROWS(L$150:L162)-1)+1)),2),"")</f>
        <v/>
      </c>
      <c r="N162" s="13" t="str">
        <f>IFERROR(ROUND(IF($AI162&lt;&gt;"","",INDEX('N04-S05'!$AH$18:$AH$199,2*(ROWS(N$150:N162)-1)+1)),2),"")</f>
        <v/>
      </c>
      <c r="O162" s="13" t="str">
        <f>IFERROR(ROUND(IF($AI162&lt;&gt;"","",INDEX('N04-S05'!$AB$18:$AB$199,2*(ROWS(O$150:O162)-1)+1)),2),"")</f>
        <v/>
      </c>
      <c r="P162" s="10" t="str">
        <f>IFERROR(IF(AI162&lt;&gt;"","",ROUND(INDEX('N04-S05'!$BB$18:$BB$199,2*(ROWS(P$150:P162)-1)+1),3)),"")</f>
        <v/>
      </c>
      <c r="Q162" s="10" t="str">
        <f>IFERROR(IF(AI162&lt;&gt;"","",ROUND(INDEX('N04-S05'!$BC$18:$BC$199,2*(ROWS(Q$150:Q162)-1)+1),3)),"")</f>
        <v/>
      </c>
      <c r="R162" s="207"/>
      <c r="S162" s="25" t="str">
        <f>IFERROR(IF(AI162&lt;&gt;"","",INDEX('N04-S05'!$AK$18:$AK$199,2*(ROWS(S$150:S162)-1)+1)),"")</f>
        <v/>
      </c>
      <c r="T162" s="31" t="str">
        <f>IFERROR(IF(AI162&lt;&gt;"","",INDEX('N04-S05'!$BI$18:$BI$199,2*(ROWS(T$150:T162)-1)+1)),"")</f>
        <v/>
      </c>
      <c r="U162" s="31" t="str">
        <f>IFERROR(IF(AI162&lt;&gt;"","",INDEX('N04-S05'!$BH$18:$BH$199,2*(ROWS(U$150:U162)-1)+1)),"")</f>
        <v/>
      </c>
      <c r="V162" s="13" t="str">
        <f>IFERROR(IF(AI162&lt;&gt;"","",INDEX('N04-S05'!$AN$18:$AN$199,2*(ROWS(V$150:V162)-1)+1)),"")</f>
        <v/>
      </c>
      <c r="W162" s="207"/>
      <c r="X162" s="207"/>
      <c r="Y162" s="13">
        <f>IFERROR(IF(AI162&lt;&gt;"",INDEX('N04-S05'!$AE$18:$AE$199,2*(ROWS(Y$150:Y162)-1)+1),""),"")</f>
        <v>0</v>
      </c>
      <c r="AA162" s="13">
        <f>IFERROR(IF($AI162&lt;&gt;"",INDEX('N04-S05'!$AH$18:$AH$199,2*(ROWS(AA$150:AA162)-1)+1),""),"")</f>
        <v>0</v>
      </c>
      <c r="AB162" s="13">
        <f>IFERROR(IF($AI162&lt;&gt;"",INDEX('N04-S05'!$AB$18:$AB$199,2*(ROWS(AB$150:AB162)-1)+1),""),"")</f>
        <v>0</v>
      </c>
      <c r="AC162" s="10">
        <f>IFERROR(IF(AI162&lt;&gt;"",ROUND(INDEX('N04-S05'!$BB$18:$BB$199,2*(ROWS(AC$150:AC162)-1)+1),3),""),"")</f>
        <v>0</v>
      </c>
      <c r="AD162" s="10">
        <f>IFERROR(IF(AI162&lt;&gt;"",ROUND(INDEX('N04-S05'!$BC$18:$BC$199,2*(ROWS(AD$150:AD162)-1)+1),3),""),"")</f>
        <v>0</v>
      </c>
      <c r="AE162" s="207"/>
      <c r="AF162" s="25">
        <f>IFERROR(IF(AI162&lt;&gt;"",INDEX('N04-S05'!$AK$18:$AK$199,2*(ROWS(AF$150:AF162)-1)+1),""),"")</f>
        <v>0</v>
      </c>
      <c r="AG162" s="31">
        <f>IFERROR(IF(AI162&lt;&gt;"",INDEX('N04-S05'!$BI$18:$BI$199,2*(ROWS(AG$150:AG162)-1)+1),""),"")</f>
        <v>0</v>
      </c>
      <c r="AH162" s="31">
        <f>IFERROR(IF(AI162&lt;&gt;"",INDEX('N04-S05'!$BH$18:$BH$199,2*(ROWS(AH$150:AH162)-1)+1),""),"")</f>
        <v>0</v>
      </c>
      <c r="AI162">
        <f>IFERROR(INDEX('N04-S05'!$BQ$18:$BQ$199,2*(ROWS(AI$150:AI162)-1)+1),"")</f>
        <v>0</v>
      </c>
      <c r="AJ162" s="25">
        <f>IFERROR(INDEX('N04-S05'!$BD$18:$BD$199,2*(ROWS(AJ$150:AJ162)-1)+1),"")</f>
        <v>0</v>
      </c>
      <c r="AK162" s="25">
        <f>IFERROR(INDEX('N04-S05'!$BE$18:$BE$199,2*(ROWS(AK$150:AK162)-1)+1),"")</f>
        <v>0</v>
      </c>
      <c r="AL162" s="207"/>
      <c r="AM162" s="207"/>
      <c r="AN162" s="207"/>
      <c r="AO162">
        <f>IFERROR(INDEX('N04-S05'!$B$18:$B$199,2*(ROWS(AO$150:AO162)-1)+1),"")</f>
        <v>0</v>
      </c>
      <c r="AP162" s="189"/>
      <c r="AQ162">
        <f>IFERROR(INDEX('N04-S05'!$C$18:$C$199,2*(ROWS(AQ$150:AQ162)-1)+1),"")</f>
        <v>0</v>
      </c>
      <c r="AR162">
        <f>IFERROR(INDEX('N04-S05'!$L$18:$L$199,2*(ROWS(AR$150:AR162)-1)+1),"")</f>
        <v>0</v>
      </c>
      <c r="AS162">
        <f>IFERROR(INDEX('N04-S05'!$T$18:$T$199,2*(ROWS(AS$150:AS162)-1)+1),"")</f>
        <v>0</v>
      </c>
      <c r="AT162" s="13">
        <f>IFERROR(INDEX('N04-S05'!$AY$18:$AY$199,2*(ROWS(AT$150:AT162)-1)+1),"")</f>
        <v>0</v>
      </c>
      <c r="AU162" s="13">
        <f>IFERROR(INDEX('N04-S05'!$AZ$18:$AZ$199,2*(ROWS(AU$150:AU162)-1)+1),"")</f>
        <v>0</v>
      </c>
      <c r="AV162">
        <f>IFERROR(INDEX('N04-S05'!$BA$18:$BA$199,2*(ROWS(AV$150:AV162)-1)+1),"")</f>
        <v>0</v>
      </c>
      <c r="AW162">
        <f>IFERROR(INDEX('N04-S05'!$BF$18:$BF$199,2*(ROWS(AW$150:AW162)-1)+1),"")</f>
        <v>0</v>
      </c>
      <c r="AX162" t="s">
        <v>820</v>
      </c>
      <c r="AY162" s="170"/>
      <c r="AZ162" s="170"/>
      <c r="BA162" s="170"/>
      <c r="BB162" s="170"/>
      <c r="BC162" s="170"/>
      <c r="BD162" s="170"/>
      <c r="BE162" s="170"/>
      <c r="BF162" s="170"/>
      <c r="BG162" s="170"/>
      <c r="BH162" s="170"/>
      <c r="BI162" s="170"/>
      <c r="BJ162" s="170"/>
      <c r="BK162" s="170"/>
    </row>
    <row r="163" spans="1:63">
      <c r="A163" s="14">
        <f t="shared" si="20"/>
        <v>0</v>
      </c>
      <c r="B163" t="str">
        <f t="shared" si="21"/>
        <v/>
      </c>
      <c r="C163" t="str">
        <f>IFERROR(IF(INDEX('N04-S05'!$BO$18:$BO$199,2*(ROWS($C$150:C163)-1)+1)="","",INDEX('N04-S05'!$BO$18:$BO$199,2*(ROWS($C$150:C163)-1)+1)),"")</f>
        <v/>
      </c>
      <c r="D163" t="s">
        <v>50</v>
      </c>
      <c r="E163" t="s">
        <v>38</v>
      </c>
      <c r="F163" t="s">
        <v>50</v>
      </c>
      <c r="G163">
        <f>IFERROR(INDEX('N04-S05'!$BG$18:$BG$199,2*(ROWS(G$150:G163)-1)+1),"")</f>
        <v>0</v>
      </c>
      <c r="H163" s="207"/>
      <c r="I163" s="189"/>
      <c r="J163" s="189"/>
      <c r="K163" s="189"/>
      <c r="L163" s="13" t="str">
        <f>IFERROR(ROUND(IF($AI163&lt;&gt;"","",INDEX('N04-S05'!$AE$18:$AE$199,2*(ROWS(L$150:L163)-1)+1)),2),"")</f>
        <v/>
      </c>
      <c r="N163" s="13" t="str">
        <f>IFERROR(ROUND(IF($AI163&lt;&gt;"","",INDEX('N04-S05'!$AH$18:$AH$199,2*(ROWS(N$150:N163)-1)+1)),2),"")</f>
        <v/>
      </c>
      <c r="O163" s="13" t="str">
        <f>IFERROR(ROUND(IF($AI163&lt;&gt;"","",INDEX('N04-S05'!$AB$18:$AB$199,2*(ROWS(O$150:O163)-1)+1)),2),"")</f>
        <v/>
      </c>
      <c r="P163" s="10" t="str">
        <f>IFERROR(IF(AI163&lt;&gt;"","",ROUND(INDEX('N04-S05'!$BB$18:$BB$199,2*(ROWS(P$150:P163)-1)+1),3)),"")</f>
        <v/>
      </c>
      <c r="Q163" s="10" t="str">
        <f>IFERROR(IF(AI163&lt;&gt;"","",ROUND(INDEX('N04-S05'!$BC$18:$BC$199,2*(ROWS(Q$150:Q163)-1)+1),3)),"")</f>
        <v/>
      </c>
      <c r="R163" s="207"/>
      <c r="S163" s="25" t="str">
        <f>IFERROR(IF(AI163&lt;&gt;"","",INDEX('N04-S05'!$AK$18:$AK$199,2*(ROWS(S$150:S163)-1)+1)),"")</f>
        <v/>
      </c>
      <c r="T163" s="31" t="str">
        <f>IFERROR(IF(AI163&lt;&gt;"","",INDEX('N04-S05'!$BI$18:$BI$199,2*(ROWS(T$150:T163)-1)+1)),"")</f>
        <v/>
      </c>
      <c r="U163" s="31" t="str">
        <f>IFERROR(IF(AI163&lt;&gt;"","",INDEX('N04-S05'!$BH$18:$BH$199,2*(ROWS(U$150:U163)-1)+1)),"")</f>
        <v/>
      </c>
      <c r="V163" s="13" t="str">
        <f>IFERROR(IF(AI163&lt;&gt;"","",INDEX('N04-S05'!$AN$18:$AN$199,2*(ROWS(V$150:V163)-1)+1)),"")</f>
        <v/>
      </c>
      <c r="W163" s="207"/>
      <c r="X163" s="207"/>
      <c r="Y163" s="13">
        <f>IFERROR(IF(AI163&lt;&gt;"",INDEX('N04-S05'!$AE$18:$AE$199,2*(ROWS(Y$150:Y163)-1)+1),""),"")</f>
        <v>0</v>
      </c>
      <c r="AA163" s="13">
        <f>IFERROR(IF($AI163&lt;&gt;"",INDEX('N04-S05'!$AH$18:$AH$199,2*(ROWS(AA$150:AA163)-1)+1),""),"")</f>
        <v>0</v>
      </c>
      <c r="AB163" s="13">
        <f>IFERROR(IF($AI163&lt;&gt;"",INDEX('N04-S05'!$AB$18:$AB$199,2*(ROWS(AB$150:AB163)-1)+1),""),"")</f>
        <v>0</v>
      </c>
      <c r="AC163" s="10">
        <f>IFERROR(IF(AI163&lt;&gt;"",ROUND(INDEX('N04-S05'!$BB$18:$BB$199,2*(ROWS(AC$150:AC163)-1)+1),3),""),"")</f>
        <v>0</v>
      </c>
      <c r="AD163" s="10">
        <f>IFERROR(IF(AI163&lt;&gt;"",ROUND(INDEX('N04-S05'!$BC$18:$BC$199,2*(ROWS(AD$150:AD163)-1)+1),3),""),"")</f>
        <v>0</v>
      </c>
      <c r="AE163" s="207"/>
      <c r="AF163" s="25">
        <f>IFERROR(IF(AI163&lt;&gt;"",INDEX('N04-S05'!$AK$18:$AK$199,2*(ROWS(AF$150:AF163)-1)+1),""),"")</f>
        <v>0</v>
      </c>
      <c r="AG163" s="31">
        <f>IFERROR(IF(AI163&lt;&gt;"",INDEX('N04-S05'!$BI$18:$BI$199,2*(ROWS(AG$150:AG163)-1)+1),""),"")</f>
        <v>0</v>
      </c>
      <c r="AH163" s="31">
        <f>IFERROR(IF(AI163&lt;&gt;"",INDEX('N04-S05'!$BH$18:$BH$199,2*(ROWS(AH$150:AH163)-1)+1),""),"")</f>
        <v>0</v>
      </c>
      <c r="AI163">
        <f>IFERROR(INDEX('N04-S05'!$BQ$18:$BQ$199,2*(ROWS(AI$150:AI163)-1)+1),"")</f>
        <v>0</v>
      </c>
      <c r="AJ163" s="25">
        <f>IFERROR(INDEX('N04-S05'!$BD$18:$BD$199,2*(ROWS(AJ$150:AJ163)-1)+1),"")</f>
        <v>0</v>
      </c>
      <c r="AK163" s="25">
        <f>IFERROR(INDEX('N04-S05'!$BE$18:$BE$199,2*(ROWS(AK$150:AK163)-1)+1),"")</f>
        <v>0</v>
      </c>
      <c r="AL163" s="207"/>
      <c r="AM163" s="207"/>
      <c r="AN163" s="207"/>
      <c r="AO163">
        <f>IFERROR(INDEX('N04-S05'!$B$18:$B$199,2*(ROWS(AO$150:AO163)-1)+1),"")</f>
        <v>0</v>
      </c>
      <c r="AP163" s="189"/>
      <c r="AQ163">
        <f>IFERROR(INDEX('N04-S05'!$C$18:$C$199,2*(ROWS(AQ$150:AQ163)-1)+1),"")</f>
        <v>0</v>
      </c>
      <c r="AR163">
        <f>IFERROR(INDEX('N04-S05'!$L$18:$L$199,2*(ROWS(AR$150:AR163)-1)+1),"")</f>
        <v>0</v>
      </c>
      <c r="AS163">
        <f>IFERROR(INDEX('N04-S05'!$T$18:$T$199,2*(ROWS(AS$150:AS163)-1)+1),"")</f>
        <v>0</v>
      </c>
      <c r="AT163" s="13">
        <f>IFERROR(INDEX('N04-S05'!$AY$18:$AY$199,2*(ROWS(AT$150:AT163)-1)+1),"")</f>
        <v>0</v>
      </c>
      <c r="AU163" s="13">
        <f>IFERROR(INDEX('N04-S05'!$AZ$18:$AZ$199,2*(ROWS(AU$150:AU163)-1)+1),"")</f>
        <v>0</v>
      </c>
      <c r="AV163">
        <f>IFERROR(INDEX('N04-S05'!$BA$18:$BA$199,2*(ROWS(AV$150:AV163)-1)+1),"")</f>
        <v>0</v>
      </c>
      <c r="AW163">
        <f>IFERROR(INDEX('N04-S05'!$BF$18:$BF$199,2*(ROWS(AW$150:AW163)-1)+1),"")</f>
        <v>0</v>
      </c>
      <c r="AX163" t="s">
        <v>820</v>
      </c>
      <c r="AY163" s="170"/>
      <c r="AZ163" s="170"/>
      <c r="BA163" s="170"/>
      <c r="BB163" s="170"/>
      <c r="BC163" s="170"/>
      <c r="BD163" s="170"/>
      <c r="BE163" s="170"/>
      <c r="BF163" s="170"/>
      <c r="BG163" s="170"/>
      <c r="BH163" s="170"/>
      <c r="BI163" s="170"/>
      <c r="BJ163" s="170"/>
      <c r="BK163" s="170"/>
    </row>
    <row r="164" spans="1:63" ht="14.25" customHeight="1">
      <c r="A164" s="14">
        <f t="shared" si="20"/>
        <v>0</v>
      </c>
      <c r="B164" t="str">
        <f t="shared" si="21"/>
        <v/>
      </c>
      <c r="C164" t="str">
        <f>IFERROR(IF(INDEX('N04-S05'!$BO$18:$BO$199,2*(ROWS($C$150:C164)-1)+1)="","",INDEX('N04-S05'!$BO$18:$BO$199,2*(ROWS($C$150:C164)-1)+1)),"")</f>
        <v/>
      </c>
      <c r="D164" t="s">
        <v>50</v>
      </c>
      <c r="E164" t="s">
        <v>38</v>
      </c>
      <c r="F164" t="s">
        <v>50</v>
      </c>
      <c r="G164">
        <f>IFERROR(INDEX('N04-S05'!$BG$18:$BG$199,2*(ROWS(G$150:G164)-1)+1),"")</f>
        <v>0</v>
      </c>
      <c r="H164" s="207"/>
      <c r="I164" s="189"/>
      <c r="J164" s="189"/>
      <c r="K164" s="189"/>
      <c r="L164" s="13" t="str">
        <f>IFERROR(ROUND(IF($AI164&lt;&gt;"","",INDEX('N04-S05'!$AE$18:$AE$199,2*(ROWS(L$150:L164)-1)+1)),2),"")</f>
        <v/>
      </c>
      <c r="N164" s="13" t="str">
        <f>IFERROR(ROUND(IF($AI164&lt;&gt;"","",INDEX('N04-S05'!$AH$18:$AH$199,2*(ROWS(N$150:N164)-1)+1)),2),"")</f>
        <v/>
      </c>
      <c r="O164" s="13" t="str">
        <f>IFERROR(ROUND(IF($AI164&lt;&gt;"","",INDEX('N04-S05'!$AB$18:$AB$199,2*(ROWS(O$150:O164)-1)+1)),2),"")</f>
        <v/>
      </c>
      <c r="P164" s="10" t="str">
        <f>IFERROR(IF(AI164&lt;&gt;"","",ROUND(INDEX('N04-S05'!$BB$18:$BB$199,2*(ROWS(P$150:P164)-1)+1),3)),"")</f>
        <v/>
      </c>
      <c r="Q164" s="10" t="str">
        <f>IFERROR(IF(AI164&lt;&gt;"","",ROUND(INDEX('N04-S05'!$BC$18:$BC$199,2*(ROWS(Q$150:Q164)-1)+1),3)),"")</f>
        <v/>
      </c>
      <c r="R164" s="207"/>
      <c r="S164" s="25" t="str">
        <f>IFERROR(IF(AI164&lt;&gt;"","",INDEX('N04-S05'!$AK$18:$AK$199,2*(ROWS(S$150:S164)-1)+1)),"")</f>
        <v/>
      </c>
      <c r="T164" s="31" t="str">
        <f>IFERROR(IF(AI164&lt;&gt;"","",INDEX('N04-S05'!$BI$18:$BI$199,2*(ROWS(T$150:T164)-1)+1)),"")</f>
        <v/>
      </c>
      <c r="U164" s="31" t="str">
        <f>IFERROR(IF(AI164&lt;&gt;"","",INDEX('N04-S05'!$BH$18:$BH$199,2*(ROWS(U$150:U164)-1)+1)),"")</f>
        <v/>
      </c>
      <c r="V164" s="13" t="str">
        <f>IFERROR(IF(AI164&lt;&gt;"","",INDEX('N04-S05'!$AN$18:$AN$199,2*(ROWS(V$150:V164)-1)+1)),"")</f>
        <v/>
      </c>
      <c r="W164" s="207"/>
      <c r="X164" s="207"/>
      <c r="Y164" s="13">
        <f>IFERROR(IF(AI164&lt;&gt;"",INDEX('N04-S05'!$AE$18:$AE$199,2*(ROWS(Y$150:Y164)-1)+1),""),"")</f>
        <v>0</v>
      </c>
      <c r="AA164" s="13">
        <f>IFERROR(IF($AI164&lt;&gt;"",INDEX('N04-S05'!$AH$18:$AH$199,2*(ROWS(AA$150:AA164)-1)+1),""),"")</f>
        <v>0</v>
      </c>
      <c r="AB164" s="13">
        <f>IFERROR(IF($AI164&lt;&gt;"",INDEX('N04-S05'!$AB$18:$AB$199,2*(ROWS(AB$150:AB164)-1)+1),""),"")</f>
        <v>0</v>
      </c>
      <c r="AC164" s="10">
        <f>IFERROR(IF(AI164&lt;&gt;"",ROUND(INDEX('N04-S05'!$BB$18:$BB$199,2*(ROWS(AC$150:AC164)-1)+1),3),""),"")</f>
        <v>0</v>
      </c>
      <c r="AD164" s="10">
        <f>IFERROR(IF(AI164&lt;&gt;"",ROUND(INDEX('N04-S05'!$BC$18:$BC$199,2*(ROWS(AD$150:AD164)-1)+1),3),""),"")</f>
        <v>0</v>
      </c>
      <c r="AE164" s="207"/>
      <c r="AF164" s="25">
        <f>IFERROR(IF(AI164&lt;&gt;"",INDEX('N04-S05'!$AK$18:$AK$199,2*(ROWS(AF$150:AF164)-1)+1),""),"")</f>
        <v>0</v>
      </c>
      <c r="AG164" s="31">
        <f>IFERROR(IF(AI164&lt;&gt;"",INDEX('N04-S05'!$BI$18:$BI$199,2*(ROWS(AG$150:AG164)-1)+1),""),"")</f>
        <v>0</v>
      </c>
      <c r="AH164" s="31">
        <f>IFERROR(IF(AI164&lt;&gt;"",INDEX('N04-S05'!$BH$18:$BH$199,2*(ROWS(AH$150:AH164)-1)+1),""),"")</f>
        <v>0</v>
      </c>
      <c r="AI164">
        <f>IFERROR(INDEX('N04-S05'!$BQ$18:$BQ$199,2*(ROWS(AI$150:AI164)-1)+1),"")</f>
        <v>0</v>
      </c>
      <c r="AJ164" s="25">
        <f>IFERROR(INDEX('N04-S05'!$BD$18:$BD$199,2*(ROWS(AJ$150:AJ164)-1)+1),"")</f>
        <v>0</v>
      </c>
      <c r="AK164" s="25">
        <f>IFERROR(INDEX('N04-S05'!$BE$18:$BE$199,2*(ROWS(AK$150:AK164)-1)+1),"")</f>
        <v>0</v>
      </c>
      <c r="AL164" s="207"/>
      <c r="AM164" s="207"/>
      <c r="AN164" s="207"/>
      <c r="AO164">
        <f>IFERROR(INDEX('N04-S05'!$B$18:$B$199,2*(ROWS(AO$150:AO164)-1)+1),"")</f>
        <v>0</v>
      </c>
      <c r="AP164" s="189"/>
      <c r="AQ164">
        <f>IFERROR(INDEX('N04-S05'!$C$18:$C$199,2*(ROWS(AQ$150:AQ164)-1)+1),"")</f>
        <v>0</v>
      </c>
      <c r="AR164">
        <f>IFERROR(INDEX('N04-S05'!$L$18:$L$199,2*(ROWS(AR$150:AR164)-1)+1),"")</f>
        <v>0</v>
      </c>
      <c r="AS164">
        <f>IFERROR(INDEX('N04-S05'!$T$18:$T$199,2*(ROWS(AS$150:AS164)-1)+1),"")</f>
        <v>0</v>
      </c>
      <c r="AT164" s="13">
        <f>IFERROR(INDEX('N04-S05'!$AY$18:$AY$199,2*(ROWS(AT$150:AT164)-1)+1),"")</f>
        <v>0</v>
      </c>
      <c r="AU164" s="13">
        <f>IFERROR(INDEX('N04-S05'!$AZ$18:$AZ$199,2*(ROWS(AU$150:AU164)-1)+1),"")</f>
        <v>0</v>
      </c>
      <c r="AV164">
        <f>IFERROR(INDEX('N04-S05'!$BA$18:$BA$199,2*(ROWS(AV$150:AV164)-1)+1),"")</f>
        <v>0</v>
      </c>
      <c r="AW164">
        <f>IFERROR(INDEX('N04-S05'!$BF$18:$BF$199,2*(ROWS(AW$150:AW164)-1)+1),"")</f>
        <v>0</v>
      </c>
      <c r="AX164" t="s">
        <v>820</v>
      </c>
      <c r="AY164" s="170"/>
      <c r="AZ164" s="170"/>
      <c r="BA164" s="170"/>
      <c r="BB164" s="170"/>
      <c r="BC164" s="170"/>
      <c r="BD164" s="170"/>
      <c r="BE164" s="170"/>
      <c r="BF164" s="170"/>
      <c r="BG164" s="170"/>
      <c r="BH164" s="170"/>
      <c r="BI164" s="170"/>
      <c r="BJ164" s="170"/>
      <c r="BK164" s="170"/>
    </row>
    <row r="165" spans="1:63">
      <c r="A165" s="223" t="str">
        <f>"Custom "&amp;N4S6</f>
        <v>Custom Miscellaneous</v>
      </c>
      <c r="B165" s="30"/>
      <c r="C165" s="30"/>
      <c r="D165" s="30"/>
      <c r="E165" s="30"/>
      <c r="F165" s="30"/>
      <c r="G165" s="30"/>
      <c r="H165" s="208"/>
      <c r="I165" s="30"/>
      <c r="J165" s="203"/>
      <c r="K165" s="203"/>
      <c r="L165" s="203"/>
      <c r="M165" s="30"/>
      <c r="N165" s="30"/>
      <c r="O165" s="30"/>
      <c r="P165" s="211"/>
      <c r="Q165" s="211"/>
      <c r="R165" s="208"/>
      <c r="S165" s="208"/>
      <c r="T165" s="214"/>
      <c r="U165" s="214"/>
      <c r="V165" s="203"/>
      <c r="W165" s="203"/>
      <c r="X165" s="203"/>
      <c r="Y165" s="203"/>
      <c r="Z165" s="30"/>
      <c r="AA165" s="30"/>
      <c r="AB165" s="30"/>
      <c r="AC165" s="211"/>
      <c r="AD165" s="211"/>
      <c r="AE165" s="208"/>
      <c r="AF165" s="208"/>
      <c r="AG165" s="214"/>
      <c r="AH165" s="214"/>
      <c r="AI165" s="30"/>
      <c r="AJ165" s="208"/>
      <c r="AK165" s="208"/>
      <c r="AL165" s="208"/>
      <c r="AM165" s="208"/>
      <c r="AN165" s="208"/>
      <c r="AO165" s="30"/>
      <c r="AP165" s="30"/>
      <c r="AQ165" s="100"/>
      <c r="AR165" s="30"/>
      <c r="AS165" s="30"/>
      <c r="AT165" s="203"/>
      <c r="AU165" s="203"/>
      <c r="AV165" s="30"/>
      <c r="AW165" s="30"/>
      <c r="AX165" s="30"/>
      <c r="AY165" s="170"/>
      <c r="AZ165" s="170"/>
      <c r="BA165" s="170"/>
      <c r="BB165" s="170"/>
      <c r="BC165" s="170"/>
      <c r="BD165" s="170"/>
      <c r="BE165" s="170"/>
      <c r="BF165" s="170"/>
      <c r="BG165" s="170"/>
      <c r="BH165" s="170"/>
      <c r="BI165" s="170"/>
      <c r="BJ165" s="170"/>
      <c r="BK165" s="170"/>
    </row>
    <row r="166" spans="1:63">
      <c r="A166" s="14">
        <f t="shared" ref="A166:A180" si="22">PROJID_N</f>
        <v>0</v>
      </c>
      <c r="B166" t="str">
        <f>IF(C166="","",CONCATENATE(ROW(),"-",C166))</f>
        <v/>
      </c>
      <c r="C166" t="str">
        <f>IFERROR(IF(INDEX('N04-S06'!$BO$18:$BO$199,2*(ROWS($C$166:C166)-1)+1)="","",INDEX('N04-S06'!$BO$18:$BO$199,2*(ROWS($C$166:C166)-1)+1)),"")</f>
        <v/>
      </c>
      <c r="D166" t="s">
        <v>50</v>
      </c>
      <c r="E166" t="s">
        <v>38</v>
      </c>
      <c r="F166" t="s">
        <v>50</v>
      </c>
      <c r="G166" t="str">
        <f>IFERROR(INDEX('N04-S06'!$BG$18:$BG$199,2*(ROWS(G$166:G166)-1)+1),"")</f>
        <v/>
      </c>
      <c r="H166" s="207"/>
      <c r="I166" s="189"/>
      <c r="J166" s="189"/>
      <c r="K166" s="189"/>
      <c r="L166" s="13" t="str">
        <f ca="1">IFERROR(ROUND(IF($AI166&lt;&gt;"","",INDEX('N04-S06'!$AE$18:$AE$199,2*(ROWS(L$166:L166)-1)+1)),2),"")</f>
        <v/>
      </c>
      <c r="N166" s="13" t="str">
        <f ca="1">IFERROR(ROUND(IF($AI166&lt;&gt;"","",INDEX('N04-S06'!$AH$18:$AH$199,2*(ROWS(N$166:N166)-1)+1)),2),"")</f>
        <v/>
      </c>
      <c r="O166" s="13" t="str">
        <f ca="1">IFERROR(ROUND(IF($AI166&lt;&gt;"","",INDEX('N04-S06'!$AB$18:$AB$199,2*(ROWS(O$166:O166)-1)+1)),2),"")</f>
        <v/>
      </c>
      <c r="P166" s="10" t="str">
        <f ca="1">IFERROR(IF(AI166&lt;&gt;"","",ROUND(INDEX('N04-S06'!$BB$18:$BB$199,2*(ROWS(P$166:P166)-1)+1),3)),"")</f>
        <v/>
      </c>
      <c r="Q166" s="10" t="str">
        <f ca="1">IFERROR(IF(AI166&lt;&gt;"","",ROUND(INDEX('N04-S06'!$BC$18:$BC$199,2*(ROWS(Q$166:Q166)-1)+1),3)),"")</f>
        <v/>
      </c>
      <c r="R166" s="207"/>
      <c r="S166" s="25" t="str">
        <f ca="1">IFERROR(IF(AI166&lt;&gt;"","",INDEX('N04-S06'!$AK$18:$AK$199,2*(ROWS(S$166:S166)-1)+1)),"")</f>
        <v/>
      </c>
      <c r="T166" s="31" t="str">
        <f ca="1">IFERROR(IF(AI166&lt;&gt;"","",INDEX('N04-S06'!$BI$18:$BI$199,2*(ROWS(T$166:T166)-1)+1)),"")</f>
        <v/>
      </c>
      <c r="U166" s="31" t="str">
        <f ca="1">IFERROR(IF(AI166&lt;&gt;"","",INDEX('N04-S06'!$BH$18:$BH$199,2*(ROWS(U$166:U166)-1)+1)),"")</f>
        <v/>
      </c>
      <c r="V166" s="13" t="str">
        <f ca="1">IFERROR(IF(AI166&lt;&gt;"","",INDEX('N04-S06'!$AN$18:$AN$199,2*(ROWS(V$166:V166)-1)+1)),"")</f>
        <v/>
      </c>
      <c r="W166" s="207"/>
      <c r="X166" s="207"/>
      <c r="Y166" s="13">
        <f ca="1">IFERROR(IF(AI166&lt;&gt;"",INDEX('N04-S06'!$AE$18:$AE$199,2*(ROWS(Y$166:Y166)-1)+1),""),"")</f>
        <v>0</v>
      </c>
      <c r="AA166" s="13" t="str">
        <f ca="1">IFERROR(IF($AI166&lt;&gt;"",INDEX('N04-S06'!$AH$18:$AH$199,2*(ROWS(AA$166:AA166)-1)+1),""),"")</f>
        <v/>
      </c>
      <c r="AB166" s="13">
        <f ca="1">IFERROR(IF($AI166&lt;&gt;"",INDEX('N04-S06'!$AB$18:$AB$199,2*(ROWS(AB$166:AB166)-1)+1),""),"")</f>
        <v>0</v>
      </c>
      <c r="AC166" s="10" t="str">
        <f ca="1">IFERROR(IF(AI166&lt;&gt;"",ROUND(INDEX('N04-S06'!$BB$18:$BB$199,2*(ROWS(AC$166:AC166)-1)+1),3),""),"")</f>
        <v/>
      </c>
      <c r="AD166" s="10" t="str">
        <f ca="1">IFERROR(IF(AI166&lt;&gt;"",ROUND(INDEX('N04-S06'!$BC$18:$BC$199,2*(ROWS(AD$166:AD166)-1)+1),3),""),"")</f>
        <v/>
      </c>
      <c r="AE166" s="207"/>
      <c r="AF166" s="25" t="str">
        <f ca="1">IFERROR(IF(AI166&lt;&gt;"",INDEX('N04-S06'!$AK$18:$AK$199,2*(ROWS(AF$166:AF166)-1)+1),""),"")</f>
        <v/>
      </c>
      <c r="AG166" s="31">
        <f ca="1">IFERROR(IF(AI166&lt;&gt;"",INDEX('N04-S06'!$BI$18:$BI$199,2*(ROWS(AG$166:AG166)-1)+1),""),"")</f>
        <v>0</v>
      </c>
      <c r="AH166" s="31" t="str">
        <f ca="1">IFERROR(IF(AI166&lt;&gt;"",INDEX('N04-S06'!$BH$18:$BH$199,2*(ROWS(AH$166:AH166)-1)+1),""),"")</f>
        <v/>
      </c>
      <c r="AI166" t="str">
        <f ca="1">IFERROR(INDEX('N04-S06'!$BQ$18:$BQ$199,2*(ROWS(AI$166:AI166)-1)+1),"")</f>
        <v>Submit for Review</v>
      </c>
      <c r="AJ166" s="25" t="str">
        <f>IFERROR(INDEX('N04-S06'!$BD$18:$BD$199,2*(ROWS(AJ$166:AJ166)-1)+1),"")</f>
        <v/>
      </c>
      <c r="AK166" s="25" t="str">
        <f>IFERROR(INDEX('N04-S06'!$BE$18:$BE$199,2*(ROWS(AK$166:AK166)-1)+1),"")</f>
        <v/>
      </c>
      <c r="AL166" s="207"/>
      <c r="AM166" s="207"/>
      <c r="AN166" s="207"/>
      <c r="AO166">
        <f>IFERROR(INDEX('N04-S06'!$B$18:$B$199,2*(ROWS(AO$166:AO166)-1)+1),"")</f>
        <v>1</v>
      </c>
      <c r="AP166" s="189"/>
      <c r="AQ166">
        <f>IFERROR(INDEX('N04-S06'!$C$18:$C$199,2*(ROWS(AQ$166:AQ166)-1)+1),"")</f>
        <v>0</v>
      </c>
      <c r="AR166">
        <f>IFERROR(INDEX('N04-S06'!$L$18:$L$199,2*(ROWS(AR$166:AR166)-1)+1),"")</f>
        <v>0</v>
      </c>
      <c r="AS166">
        <f>IFERROR(INDEX('N04-S06'!$T$18:$T$199,2*(ROWS(AS$166:AS166)-1)+1),"")</f>
        <v>0</v>
      </c>
      <c r="AT166" s="13" t="str">
        <f>IFERROR(INDEX('N04-S06'!$AY$18:$AY$199,2*(ROWS(AT$166:AT166)-1)+1),"")</f>
        <v/>
      </c>
      <c r="AU166" s="13" t="str">
        <f>IFERROR(INDEX('N04-S06'!$AZ$18:$AZ$199,2*(ROWS(AU$166:AU166)-1)+1),"")</f>
        <v/>
      </c>
      <c r="AV166" t="str">
        <f>IFERROR(INDEX('N04-S06'!$BA$18:$BA$199,2*(ROWS(AV$166:AV166)-1)+1),"")</f>
        <v/>
      </c>
      <c r="AW166" t="str">
        <f>IFERROR(INDEX('N04-S06'!$BF$18:$BF$199,2*(ROWS(AW$166:AW166)-1)+1),"")</f>
        <v/>
      </c>
      <c r="AX166" t="s">
        <v>820</v>
      </c>
      <c r="AY166" s="170"/>
      <c r="AZ166" s="170"/>
      <c r="BA166" s="170"/>
      <c r="BB166" s="170"/>
      <c r="BC166" s="170"/>
      <c r="BD166" s="170"/>
      <c r="BE166" s="170"/>
      <c r="BF166" s="170"/>
      <c r="BG166" s="170"/>
      <c r="BH166" s="170"/>
      <c r="BI166" s="170"/>
      <c r="BJ166" s="170"/>
      <c r="BK166" s="170"/>
    </row>
    <row r="167" spans="1:63" ht="14.25" customHeight="1">
      <c r="A167" s="14">
        <f t="shared" si="22"/>
        <v>0</v>
      </c>
      <c r="B167" t="str">
        <f t="shared" ref="B167:B182" si="23">IF(C167="","",CONCATENATE(ROW(),"-",C167))</f>
        <v/>
      </c>
      <c r="C167" t="str">
        <f>IFERROR(IF(INDEX('N04-S06'!$BO$18:$BO$199,2*(ROWS($C$166:C167)-1)+1)="","",INDEX('N04-S06'!$BO$18:$BO$199,2*(ROWS($C$166:C167)-1)+1)),"")</f>
        <v/>
      </c>
      <c r="D167" t="s">
        <v>50</v>
      </c>
      <c r="E167" t="s">
        <v>38</v>
      </c>
      <c r="F167" t="s">
        <v>50</v>
      </c>
      <c r="G167" t="str">
        <f>IFERROR(INDEX('N04-S06'!$BG$18:$BG$199,2*(ROWS(G$166:G167)-1)+1),"")</f>
        <v/>
      </c>
      <c r="H167" s="207"/>
      <c r="I167" s="189"/>
      <c r="J167" s="189"/>
      <c r="K167" s="189"/>
      <c r="L167" s="13" t="str">
        <f ca="1">IFERROR(ROUND(IF($AI167&lt;&gt;"","",INDEX('N04-S06'!$AE$18:$AE$199,2*(ROWS(L$166:L167)-1)+1)),2),"")</f>
        <v/>
      </c>
      <c r="N167" s="13" t="str">
        <f ca="1">IFERROR(ROUND(IF($AI167&lt;&gt;"","",INDEX('N04-S06'!$AH$18:$AH$199,2*(ROWS(N$166:N167)-1)+1)),2),"")</f>
        <v/>
      </c>
      <c r="O167" s="13" t="str">
        <f ca="1">IFERROR(ROUND(IF($AI167&lt;&gt;"","",INDEX('N04-S06'!$AB$18:$AB$199,2*(ROWS(O$166:O167)-1)+1)),2),"")</f>
        <v/>
      </c>
      <c r="P167" s="10" t="str">
        <f ca="1">IFERROR(IF(AI167&lt;&gt;"","",ROUND(INDEX('N04-S06'!$BB$18:$BB$199,2*(ROWS(P$166:P167)-1)+1),3)),"")</f>
        <v/>
      </c>
      <c r="Q167" s="10" t="str">
        <f ca="1">IFERROR(IF(AI167&lt;&gt;"","",ROUND(INDEX('N04-S06'!$BC$18:$BC$199,2*(ROWS(Q$166:Q167)-1)+1),3)),"")</f>
        <v/>
      </c>
      <c r="R167" s="207"/>
      <c r="S167" s="25" t="str">
        <f ca="1">IFERROR(IF(AI167&lt;&gt;"","",INDEX('N04-S06'!$AK$18:$AK$199,2*(ROWS(S$166:S167)-1)+1)),"")</f>
        <v/>
      </c>
      <c r="T167" s="31" t="str">
        <f ca="1">IFERROR(IF(AI167&lt;&gt;"","",INDEX('N04-S06'!$BI$18:$BI$199,2*(ROWS(T$166:T167)-1)+1)),"")</f>
        <v/>
      </c>
      <c r="U167" s="31" t="str">
        <f ca="1">IFERROR(IF(AI167&lt;&gt;"","",INDEX('N04-S06'!$BH$18:$BH$199,2*(ROWS(U$166:U167)-1)+1)),"")</f>
        <v/>
      </c>
      <c r="V167" s="13" t="str">
        <f ca="1">IFERROR(IF(AI167&lt;&gt;"","",INDEX('N04-S06'!$AN$18:$AN$199,2*(ROWS(V$166:V167)-1)+1)),"")</f>
        <v/>
      </c>
      <c r="W167" s="207"/>
      <c r="X167" s="207"/>
      <c r="Y167" s="13">
        <f ca="1">IFERROR(IF(AI167&lt;&gt;"",INDEX('N04-S06'!$AE$18:$AE$199,2*(ROWS(Y$166:Y167)-1)+1),""),"")</f>
        <v>0</v>
      </c>
      <c r="AA167" s="13" t="str">
        <f ca="1">IFERROR(IF($AI167&lt;&gt;"",INDEX('N04-S06'!$AH$18:$AH$199,2*(ROWS(AA$166:AA167)-1)+1),""),"")</f>
        <v/>
      </c>
      <c r="AB167" s="13">
        <f ca="1">IFERROR(IF($AI167&lt;&gt;"",INDEX('N04-S06'!$AB$18:$AB$199,2*(ROWS(AB$166:AB167)-1)+1),""),"")</f>
        <v>0</v>
      </c>
      <c r="AC167" s="10" t="str">
        <f ca="1">IFERROR(IF(AI167&lt;&gt;"",ROUND(INDEX('N04-S06'!$BB$18:$BB$199,2*(ROWS(AC$166:AC167)-1)+1),3),""),"")</f>
        <v/>
      </c>
      <c r="AD167" s="10" t="str">
        <f ca="1">IFERROR(IF(AI167&lt;&gt;"",ROUND(INDEX('N04-S06'!$BC$18:$BC$199,2*(ROWS(AD$166:AD167)-1)+1),3),""),"")</f>
        <v/>
      </c>
      <c r="AE167" s="207"/>
      <c r="AF167" s="25" t="str">
        <f ca="1">IFERROR(IF(AI167&lt;&gt;"",INDEX('N04-S06'!$AK$18:$AK$199,2*(ROWS(AF$166:AF167)-1)+1),""),"")</f>
        <v/>
      </c>
      <c r="AG167" s="31">
        <f ca="1">IFERROR(IF(AI167&lt;&gt;"",INDEX('N04-S06'!$BI$18:$BI$199,2*(ROWS(AG$166:AG167)-1)+1),""),"")</f>
        <v>0</v>
      </c>
      <c r="AH167" s="31" t="str">
        <f ca="1">IFERROR(IF(AI167&lt;&gt;"",INDEX('N04-S06'!$BH$18:$BH$199,2*(ROWS(AH$166:AH167)-1)+1),""),"")</f>
        <v/>
      </c>
      <c r="AI167" t="str">
        <f ca="1">IFERROR(INDEX('N04-S06'!$BQ$18:$BQ$199,2*(ROWS(AI$166:AI167)-1)+1),"")</f>
        <v>Submit for Review</v>
      </c>
      <c r="AJ167" s="25" t="str">
        <f>IFERROR(INDEX('N04-S06'!$BD$18:$BD$199,2*(ROWS(AJ$166:AJ167)-1)+1),"")</f>
        <v/>
      </c>
      <c r="AK167" s="25" t="str">
        <f>IFERROR(INDEX('N04-S06'!$BE$18:$BE$199,2*(ROWS(AK$166:AK167)-1)+1),"")</f>
        <v/>
      </c>
      <c r="AL167" s="207"/>
      <c r="AM167" s="207"/>
      <c r="AN167" s="207"/>
      <c r="AO167">
        <f>IFERROR(INDEX('N04-S06'!$B$18:$B$199,2*(ROWS(AO$166:AO167)-1)+1),"")</f>
        <v>2</v>
      </c>
      <c r="AP167" s="189"/>
      <c r="AQ167">
        <f>IFERROR(INDEX('N04-S06'!$C$18:$C$199,2*(ROWS(AQ$166:AQ167)-1)+1),"")</f>
        <v>0</v>
      </c>
      <c r="AR167">
        <f>IFERROR(INDEX('N04-S06'!$L$18:$L$199,2*(ROWS(AR$166:AR167)-1)+1),"")</f>
        <v>0</v>
      </c>
      <c r="AS167">
        <f>IFERROR(INDEX('N04-S06'!$T$18:$T$199,2*(ROWS(AS$166:AS167)-1)+1),"")</f>
        <v>0</v>
      </c>
      <c r="AT167" s="13" t="str">
        <f>IFERROR(INDEX('N04-S06'!$AY$18:$AY$199,2*(ROWS(AT$166:AT167)-1)+1),"")</f>
        <v/>
      </c>
      <c r="AU167" s="13" t="str">
        <f>IFERROR(INDEX('N04-S06'!$AZ$18:$AZ$199,2*(ROWS(AU$166:AU167)-1)+1),"")</f>
        <v/>
      </c>
      <c r="AV167" t="str">
        <f>IFERROR(INDEX('N04-S06'!$BA$18:$BA$199,2*(ROWS(AV$166:AV167)-1)+1),"")</f>
        <v/>
      </c>
      <c r="AW167" t="str">
        <f>IFERROR(INDEX('N04-S06'!$BF$18:$BF$199,2*(ROWS(AW$166:AW167)-1)+1),"")</f>
        <v/>
      </c>
      <c r="AX167" t="s">
        <v>820</v>
      </c>
      <c r="AY167" s="170"/>
      <c r="AZ167" s="170"/>
      <c r="BA167" s="170"/>
      <c r="BB167" s="170"/>
      <c r="BC167" s="170"/>
      <c r="BD167" s="170"/>
      <c r="BE167" s="170"/>
      <c r="BF167" s="170"/>
      <c r="BG167" s="170"/>
      <c r="BH167" s="170"/>
      <c r="BI167" s="170"/>
      <c r="BJ167" s="170"/>
      <c r="BK167" s="170"/>
    </row>
    <row r="168" spans="1:63" ht="14.25" customHeight="1">
      <c r="A168" s="14">
        <f t="shared" si="22"/>
        <v>0</v>
      </c>
      <c r="B168" t="str">
        <f t="shared" si="23"/>
        <v/>
      </c>
      <c r="C168" t="str">
        <f>IFERROR(IF(INDEX('N04-S06'!$BO$18:$BO$199,2*(ROWS($C$166:C168)-1)+1)="","",INDEX('N04-S06'!$BO$18:$BO$199,2*(ROWS($C$166:C168)-1)+1)),"")</f>
        <v/>
      </c>
      <c r="D168" t="s">
        <v>50</v>
      </c>
      <c r="E168" t="s">
        <v>38</v>
      </c>
      <c r="F168" t="s">
        <v>50</v>
      </c>
      <c r="G168" t="str">
        <f>IFERROR(INDEX('N04-S06'!$BG$18:$BG$199,2*(ROWS(G$166:G168)-1)+1),"")</f>
        <v/>
      </c>
      <c r="H168" s="207"/>
      <c r="I168" s="189"/>
      <c r="J168" s="189"/>
      <c r="K168" s="189"/>
      <c r="L168" s="13" t="str">
        <f ca="1">IFERROR(ROUND(IF($AI168&lt;&gt;"","",INDEX('N04-S06'!$AE$18:$AE$199,2*(ROWS(L$166:L168)-1)+1)),2),"")</f>
        <v/>
      </c>
      <c r="N168" s="13" t="str">
        <f ca="1">IFERROR(ROUND(IF($AI168&lt;&gt;"","",INDEX('N04-S06'!$AH$18:$AH$199,2*(ROWS(N$166:N168)-1)+1)),2),"")</f>
        <v/>
      </c>
      <c r="O168" s="13" t="str">
        <f ca="1">IFERROR(ROUND(IF($AI168&lt;&gt;"","",INDEX('N04-S06'!$AB$18:$AB$199,2*(ROWS(O$166:O168)-1)+1)),2),"")</f>
        <v/>
      </c>
      <c r="P168" s="10" t="str">
        <f ca="1">IFERROR(IF(AI168&lt;&gt;"","",ROUND(INDEX('N04-S06'!$BB$18:$BB$199,2*(ROWS(P$166:P168)-1)+1),3)),"")</f>
        <v/>
      </c>
      <c r="Q168" s="10" t="str">
        <f ca="1">IFERROR(IF(AI168&lt;&gt;"","",ROUND(INDEX('N04-S06'!$BC$18:$BC$199,2*(ROWS(Q$166:Q168)-1)+1),3)),"")</f>
        <v/>
      </c>
      <c r="R168" s="207"/>
      <c r="S168" s="25" t="str">
        <f ca="1">IFERROR(IF(AI168&lt;&gt;"","",INDEX('N04-S06'!$AK$18:$AK$199,2*(ROWS(S$166:S168)-1)+1)),"")</f>
        <v/>
      </c>
      <c r="T168" s="31" t="str">
        <f ca="1">IFERROR(IF(AI168&lt;&gt;"","",INDEX('N04-S06'!$BI$18:$BI$199,2*(ROWS(T$166:T168)-1)+1)),"")</f>
        <v/>
      </c>
      <c r="U168" s="31" t="str">
        <f ca="1">IFERROR(IF(AI168&lt;&gt;"","",INDEX('N04-S06'!$BH$18:$BH$199,2*(ROWS(U$166:U168)-1)+1)),"")</f>
        <v/>
      </c>
      <c r="V168" s="13" t="str">
        <f ca="1">IFERROR(IF(AI168&lt;&gt;"","",INDEX('N04-S06'!$AN$18:$AN$199,2*(ROWS(V$166:V168)-1)+1)),"")</f>
        <v/>
      </c>
      <c r="W168" s="207"/>
      <c r="X168" s="207"/>
      <c r="Y168" s="13">
        <f ca="1">IFERROR(IF(AI168&lt;&gt;"",INDEX('N04-S06'!$AE$18:$AE$199,2*(ROWS(Y$166:Y168)-1)+1),""),"")</f>
        <v>0</v>
      </c>
      <c r="AA168" s="13" t="str">
        <f ca="1">IFERROR(IF($AI168&lt;&gt;"",INDEX('N04-S06'!$AH$18:$AH$199,2*(ROWS(AA$166:AA168)-1)+1),""),"")</f>
        <v/>
      </c>
      <c r="AB168" s="13">
        <f ca="1">IFERROR(IF($AI168&lt;&gt;"",INDEX('N04-S06'!$AB$18:$AB$199,2*(ROWS(AB$166:AB168)-1)+1),""),"")</f>
        <v>0</v>
      </c>
      <c r="AC168" s="10" t="str">
        <f ca="1">IFERROR(IF(AI168&lt;&gt;"",ROUND(INDEX('N04-S06'!$BB$18:$BB$199,2*(ROWS(AC$166:AC168)-1)+1),3),""),"")</f>
        <v/>
      </c>
      <c r="AD168" s="10" t="str">
        <f ca="1">IFERROR(IF(AI168&lt;&gt;"",ROUND(INDEX('N04-S06'!$BC$18:$BC$199,2*(ROWS(AD$166:AD168)-1)+1),3),""),"")</f>
        <v/>
      </c>
      <c r="AE168" s="207"/>
      <c r="AF168" s="25" t="str">
        <f ca="1">IFERROR(IF(AI168&lt;&gt;"",INDEX('N04-S06'!$AK$18:$AK$199,2*(ROWS(AF$166:AF168)-1)+1),""),"")</f>
        <v/>
      </c>
      <c r="AG168" s="31">
        <f ca="1">IFERROR(IF(AI168&lt;&gt;"",INDEX('N04-S06'!$BI$18:$BI$199,2*(ROWS(AG$166:AG168)-1)+1),""),"")</f>
        <v>0</v>
      </c>
      <c r="AH168" s="31" t="str">
        <f ca="1">IFERROR(IF(AI168&lt;&gt;"",INDEX('N04-S06'!$BH$18:$BH$199,2*(ROWS(AH$166:AH168)-1)+1),""),"")</f>
        <v/>
      </c>
      <c r="AI168" t="str">
        <f ca="1">IFERROR(INDEX('N04-S06'!$BQ$18:$BQ$199,2*(ROWS(AI$166:AI168)-1)+1),"")</f>
        <v>Submit for Review</v>
      </c>
      <c r="AJ168" s="25" t="str">
        <f>IFERROR(INDEX('N04-S06'!$BD$18:$BD$199,2*(ROWS(AJ$166:AJ168)-1)+1),"")</f>
        <v/>
      </c>
      <c r="AK168" s="25" t="str">
        <f>IFERROR(INDEX('N04-S06'!$BE$18:$BE$199,2*(ROWS(AK$166:AK168)-1)+1),"")</f>
        <v/>
      </c>
      <c r="AL168" s="207"/>
      <c r="AM168" s="207"/>
      <c r="AN168" s="207"/>
      <c r="AO168">
        <f>IFERROR(INDEX('N04-S06'!$B$18:$B$199,2*(ROWS(AO$166:AO168)-1)+1),"")</f>
        <v>3</v>
      </c>
      <c r="AP168" s="189"/>
      <c r="AQ168">
        <f>IFERROR(INDEX('N04-S06'!$C$18:$C$199,2*(ROWS(AQ$166:AQ168)-1)+1),"")</f>
        <v>0</v>
      </c>
      <c r="AR168">
        <f>IFERROR(INDEX('N04-S06'!$L$18:$L$199,2*(ROWS(AR$166:AR168)-1)+1),"")</f>
        <v>0</v>
      </c>
      <c r="AS168">
        <f>IFERROR(INDEX('N04-S06'!$T$18:$T$199,2*(ROWS(AS$166:AS168)-1)+1),"")</f>
        <v>0</v>
      </c>
      <c r="AT168" s="13" t="str">
        <f>IFERROR(INDEX('N04-S06'!$AY$18:$AY$199,2*(ROWS(AT$166:AT168)-1)+1),"")</f>
        <v/>
      </c>
      <c r="AU168" s="13" t="str">
        <f>IFERROR(INDEX('N04-S06'!$AZ$18:$AZ$199,2*(ROWS(AU$166:AU168)-1)+1),"")</f>
        <v/>
      </c>
      <c r="AV168" t="str">
        <f>IFERROR(INDEX('N04-S06'!$BA$18:$BA$199,2*(ROWS(AV$166:AV168)-1)+1),"")</f>
        <v/>
      </c>
      <c r="AW168" t="str">
        <f>IFERROR(INDEX('N04-S06'!$BF$18:$BF$199,2*(ROWS(AW$166:AW168)-1)+1),"")</f>
        <v/>
      </c>
      <c r="AX168" t="s">
        <v>820</v>
      </c>
      <c r="AY168" s="170"/>
      <c r="AZ168" s="170"/>
      <c r="BA168" s="170"/>
      <c r="BB168" s="170"/>
      <c r="BC168" s="170"/>
      <c r="BD168" s="170"/>
      <c r="BE168" s="170"/>
      <c r="BF168" s="170"/>
      <c r="BG168" s="170"/>
      <c r="BH168" s="170"/>
      <c r="BI168" s="170"/>
      <c r="BJ168" s="170"/>
      <c r="BK168" s="170"/>
    </row>
    <row r="169" spans="1:63">
      <c r="A169" s="14">
        <f t="shared" si="22"/>
        <v>0</v>
      </c>
      <c r="B169" t="str">
        <f t="shared" si="23"/>
        <v/>
      </c>
      <c r="C169" t="str">
        <f>IFERROR(IF(INDEX('N04-S06'!$BO$18:$BO$199,2*(ROWS($C$166:C169)-1)+1)="","",INDEX('N04-S06'!$BO$18:$BO$199,2*(ROWS($C$166:C169)-1)+1)),"")</f>
        <v/>
      </c>
      <c r="D169" t="s">
        <v>50</v>
      </c>
      <c r="E169" t="s">
        <v>38</v>
      </c>
      <c r="F169" t="s">
        <v>50</v>
      </c>
      <c r="G169" t="str">
        <f>IFERROR(INDEX('N04-S06'!$BG$18:$BG$199,2*(ROWS(G$166:G169)-1)+1),"")</f>
        <v/>
      </c>
      <c r="H169" s="207"/>
      <c r="I169" s="189"/>
      <c r="J169" s="189"/>
      <c r="K169" s="189"/>
      <c r="L169" s="13" t="str">
        <f ca="1">IFERROR(ROUND(IF($AI169&lt;&gt;"","",INDEX('N04-S06'!$AE$18:$AE$199,2*(ROWS(L$166:L169)-1)+1)),2),"")</f>
        <v/>
      </c>
      <c r="N169" s="13" t="str">
        <f ca="1">IFERROR(ROUND(IF($AI169&lt;&gt;"","",INDEX('N04-S06'!$AH$18:$AH$199,2*(ROWS(N$166:N169)-1)+1)),2),"")</f>
        <v/>
      </c>
      <c r="O169" s="13" t="str">
        <f ca="1">IFERROR(ROUND(IF($AI169&lt;&gt;"","",INDEX('N04-S06'!$AB$18:$AB$199,2*(ROWS(O$166:O169)-1)+1)),2),"")</f>
        <v/>
      </c>
      <c r="P169" s="10" t="str">
        <f ca="1">IFERROR(IF(AI169&lt;&gt;"","",ROUND(INDEX('N04-S06'!$BB$18:$BB$199,2*(ROWS(P$166:P169)-1)+1),3)),"")</f>
        <v/>
      </c>
      <c r="Q169" s="10" t="str">
        <f ca="1">IFERROR(IF(AI169&lt;&gt;"","",ROUND(INDEX('N04-S06'!$BC$18:$BC$199,2*(ROWS(Q$166:Q169)-1)+1),3)),"")</f>
        <v/>
      </c>
      <c r="R169" s="207"/>
      <c r="S169" s="25" t="str">
        <f ca="1">IFERROR(IF(AI169&lt;&gt;"","",INDEX('N04-S06'!$AK$18:$AK$199,2*(ROWS(S$166:S169)-1)+1)),"")</f>
        <v/>
      </c>
      <c r="T169" s="31" t="str">
        <f ca="1">IFERROR(IF(AI169&lt;&gt;"","",INDEX('N04-S06'!$BI$18:$BI$199,2*(ROWS(T$166:T169)-1)+1)),"")</f>
        <v/>
      </c>
      <c r="U169" s="31" t="str">
        <f ca="1">IFERROR(IF(AI169&lt;&gt;"","",INDEX('N04-S06'!$BH$18:$BH$199,2*(ROWS(U$166:U169)-1)+1)),"")</f>
        <v/>
      </c>
      <c r="V169" s="13" t="str">
        <f ca="1">IFERROR(IF(AI169&lt;&gt;"","",INDEX('N04-S06'!$AN$18:$AN$199,2*(ROWS(V$166:V169)-1)+1)),"")</f>
        <v/>
      </c>
      <c r="W169" s="207"/>
      <c r="X169" s="207"/>
      <c r="Y169" s="13">
        <f ca="1">IFERROR(IF(AI169&lt;&gt;"",INDEX('N04-S06'!$AE$18:$AE$199,2*(ROWS(Y$166:Y169)-1)+1),""),"")</f>
        <v>0</v>
      </c>
      <c r="AA169" s="13" t="str">
        <f ca="1">IFERROR(IF($AI169&lt;&gt;"",INDEX('N04-S06'!$AH$18:$AH$199,2*(ROWS(AA$166:AA169)-1)+1),""),"")</f>
        <v/>
      </c>
      <c r="AB169" s="13">
        <f ca="1">IFERROR(IF($AI169&lt;&gt;"",INDEX('N04-S06'!$AB$18:$AB$199,2*(ROWS(AB$166:AB169)-1)+1),""),"")</f>
        <v>0</v>
      </c>
      <c r="AC169" s="10" t="str">
        <f ca="1">IFERROR(IF(AI169&lt;&gt;"",ROUND(INDEX('N04-S06'!$BB$18:$BB$199,2*(ROWS(AC$166:AC169)-1)+1),3),""),"")</f>
        <v/>
      </c>
      <c r="AD169" s="10" t="str">
        <f ca="1">IFERROR(IF(AI169&lt;&gt;"",ROUND(INDEX('N04-S06'!$BC$18:$BC$199,2*(ROWS(AD$166:AD169)-1)+1),3),""),"")</f>
        <v/>
      </c>
      <c r="AE169" s="207"/>
      <c r="AF169" s="25" t="str">
        <f ca="1">IFERROR(IF(AI169&lt;&gt;"",INDEX('N04-S06'!$AK$18:$AK$199,2*(ROWS(AF$166:AF169)-1)+1),""),"")</f>
        <v/>
      </c>
      <c r="AG169" s="31">
        <f ca="1">IFERROR(IF(AI169&lt;&gt;"",INDEX('N04-S06'!$BI$18:$BI$199,2*(ROWS(AG$166:AG169)-1)+1),""),"")</f>
        <v>0</v>
      </c>
      <c r="AH169" s="31" t="str">
        <f ca="1">IFERROR(IF(AI169&lt;&gt;"",INDEX('N04-S06'!$BH$18:$BH$199,2*(ROWS(AH$166:AH169)-1)+1),""),"")</f>
        <v/>
      </c>
      <c r="AI169" t="str">
        <f ca="1">IFERROR(INDEX('N04-S06'!$BQ$18:$BQ$199,2*(ROWS(AI$166:AI169)-1)+1),"")</f>
        <v>Submit for Review</v>
      </c>
      <c r="AJ169" s="25" t="str">
        <f>IFERROR(INDEX('N04-S06'!$BD$18:$BD$199,2*(ROWS(AJ$166:AJ169)-1)+1),"")</f>
        <v/>
      </c>
      <c r="AK169" s="25" t="str">
        <f>IFERROR(INDEX('N04-S06'!$BE$18:$BE$199,2*(ROWS(AK$166:AK169)-1)+1),"")</f>
        <v/>
      </c>
      <c r="AL169" s="207"/>
      <c r="AM169" s="207"/>
      <c r="AN169" s="207"/>
      <c r="AO169">
        <f>IFERROR(INDEX('N04-S06'!$B$18:$B$199,2*(ROWS(AO$166:AO169)-1)+1),"")</f>
        <v>4</v>
      </c>
      <c r="AP169" s="189"/>
      <c r="AQ169">
        <f>IFERROR(INDEX('N04-S06'!$C$18:$C$199,2*(ROWS(AQ$166:AQ169)-1)+1),"")</f>
        <v>0</v>
      </c>
      <c r="AR169">
        <f>IFERROR(INDEX('N04-S06'!$L$18:$L$199,2*(ROWS(AR$166:AR169)-1)+1),"")</f>
        <v>0</v>
      </c>
      <c r="AS169">
        <f>IFERROR(INDEX('N04-S06'!$T$18:$T$199,2*(ROWS(AS$166:AS169)-1)+1),"")</f>
        <v>0</v>
      </c>
      <c r="AT169" s="13" t="str">
        <f>IFERROR(INDEX('N04-S06'!$AY$18:$AY$199,2*(ROWS(AT$166:AT169)-1)+1),"")</f>
        <v/>
      </c>
      <c r="AU169" s="13" t="str">
        <f>IFERROR(INDEX('N04-S06'!$AZ$18:$AZ$199,2*(ROWS(AU$166:AU169)-1)+1),"")</f>
        <v/>
      </c>
      <c r="AV169" t="str">
        <f>IFERROR(INDEX('N04-S06'!$BA$18:$BA$199,2*(ROWS(AV$166:AV169)-1)+1),"")</f>
        <v/>
      </c>
      <c r="AW169" t="str">
        <f>IFERROR(INDEX('N04-S06'!$BF$18:$BF$199,2*(ROWS(AW$166:AW169)-1)+1),"")</f>
        <v/>
      </c>
      <c r="AX169" t="s">
        <v>820</v>
      </c>
      <c r="AY169" s="170"/>
      <c r="AZ169" s="170"/>
      <c r="BA169" s="170"/>
      <c r="BB169" s="170"/>
      <c r="BC169" s="170"/>
      <c r="BD169" s="170"/>
      <c r="BE169" s="170"/>
      <c r="BF169" s="170"/>
      <c r="BG169" s="170"/>
      <c r="BH169" s="170"/>
      <c r="BI169" s="170"/>
      <c r="BJ169" s="170"/>
      <c r="BK169" s="170"/>
    </row>
    <row r="170" spans="1:63">
      <c r="A170" s="14">
        <f t="shared" si="22"/>
        <v>0</v>
      </c>
      <c r="B170" t="str">
        <f t="shared" si="23"/>
        <v/>
      </c>
      <c r="C170" t="str">
        <f>IFERROR(IF(INDEX('N04-S06'!$BO$18:$BO$199,2*(ROWS($C$166:C170)-1)+1)="","",INDEX('N04-S06'!$BO$18:$BO$199,2*(ROWS($C$166:C170)-1)+1)),"")</f>
        <v/>
      </c>
      <c r="D170" t="s">
        <v>50</v>
      </c>
      <c r="E170" t="s">
        <v>38</v>
      </c>
      <c r="F170" t="s">
        <v>50</v>
      </c>
      <c r="G170">
        <f>IFERROR(INDEX('N04-S06'!$BG$18:$BG$199,2*(ROWS(G$166:G170)-1)+1),"")</f>
        <v>0</v>
      </c>
      <c r="H170" s="207"/>
      <c r="I170" s="189"/>
      <c r="J170" s="189"/>
      <c r="K170" s="189"/>
      <c r="L170" s="13" t="str">
        <f>IFERROR(ROUND(IF($AI170&lt;&gt;"","",INDEX('N04-S06'!$AE$18:$AE$199,2*(ROWS(L$166:L170)-1)+1)),2),"")</f>
        <v/>
      </c>
      <c r="N170" s="13" t="str">
        <f>IFERROR(ROUND(IF($AI170&lt;&gt;"","",INDEX('N04-S06'!$AH$18:$AH$199,2*(ROWS(N$166:N170)-1)+1)),2),"")</f>
        <v/>
      </c>
      <c r="O170" s="13" t="str">
        <f>IFERROR(ROUND(IF($AI170&lt;&gt;"","",INDEX('N04-S06'!$AB$18:$AB$199,2*(ROWS(O$166:O170)-1)+1)),2),"")</f>
        <v/>
      </c>
      <c r="P170" s="10" t="str">
        <f>IFERROR(IF(AI170&lt;&gt;"","",ROUND(INDEX('N04-S06'!$BB$18:$BB$199,2*(ROWS(P$166:P170)-1)+1),3)),"")</f>
        <v/>
      </c>
      <c r="Q170" s="10" t="str">
        <f>IFERROR(IF(AI170&lt;&gt;"","",ROUND(INDEX('N04-S06'!$BC$18:$BC$199,2*(ROWS(Q$166:Q170)-1)+1),3)),"")</f>
        <v/>
      </c>
      <c r="R170" s="207"/>
      <c r="S170" s="25" t="str">
        <f>IFERROR(IF(AI170&lt;&gt;"","",INDEX('N04-S06'!$AK$18:$AK$199,2*(ROWS(S$166:S170)-1)+1)),"")</f>
        <v/>
      </c>
      <c r="T170" s="31" t="str">
        <f>IFERROR(IF(AI170&lt;&gt;"","",INDEX('N04-S06'!$BI$18:$BI$199,2*(ROWS(T$166:T170)-1)+1)),"")</f>
        <v/>
      </c>
      <c r="U170" s="31" t="str">
        <f>IFERROR(IF(AI170&lt;&gt;"","",INDEX('N04-S06'!$BH$18:$BH$199,2*(ROWS(U$166:U170)-1)+1)),"")</f>
        <v/>
      </c>
      <c r="V170" s="13" t="str">
        <f>IFERROR(IF(AI170&lt;&gt;"","",INDEX('N04-S06'!$AN$18:$AN$199,2*(ROWS(V$166:V170)-1)+1)),"")</f>
        <v/>
      </c>
      <c r="W170" s="207"/>
      <c r="X170" s="207"/>
      <c r="Y170" s="13">
        <f>IFERROR(IF(AI170&lt;&gt;"",INDEX('N04-S06'!$AE$18:$AE$199,2*(ROWS(Y$166:Y170)-1)+1),""),"")</f>
        <v>0</v>
      </c>
      <c r="AA170" s="13">
        <f>IFERROR(IF($AI170&lt;&gt;"",INDEX('N04-S06'!$AH$18:$AH$199,2*(ROWS(AA$166:AA170)-1)+1),""),"")</f>
        <v>0</v>
      </c>
      <c r="AB170" s="13">
        <f>IFERROR(IF($AI170&lt;&gt;"",INDEX('N04-S06'!$AB$18:$AB$199,2*(ROWS(AB$166:AB170)-1)+1),""),"")</f>
        <v>0</v>
      </c>
      <c r="AC170" s="10">
        <f>IFERROR(IF(AI170&lt;&gt;"",ROUND(INDEX('N04-S06'!$BB$18:$BB$199,2*(ROWS(AC$166:AC170)-1)+1),3),""),"")</f>
        <v>0</v>
      </c>
      <c r="AD170" s="10">
        <f>IFERROR(IF(AI170&lt;&gt;"",ROUND(INDEX('N04-S06'!$BC$18:$BC$199,2*(ROWS(AD$166:AD170)-1)+1),3),""),"")</f>
        <v>0</v>
      </c>
      <c r="AE170" s="207"/>
      <c r="AF170" s="25">
        <f>IFERROR(IF(AI170&lt;&gt;"",INDEX('N04-S06'!$AK$18:$AK$199,2*(ROWS(AF$166:AF170)-1)+1),""),"")</f>
        <v>0</v>
      </c>
      <c r="AG170" s="31">
        <f>IFERROR(IF(AI170&lt;&gt;"",INDEX('N04-S06'!$BI$18:$BI$199,2*(ROWS(AG$166:AG170)-1)+1),""),"")</f>
        <v>0</v>
      </c>
      <c r="AH170" s="31">
        <f>IFERROR(IF(AI170&lt;&gt;"",INDEX('N04-S06'!$BH$18:$BH$199,2*(ROWS(AH$166:AH170)-1)+1),""),"")</f>
        <v>0</v>
      </c>
      <c r="AI170">
        <f>IFERROR(INDEX('N04-S06'!$BQ$18:$BQ$199,2*(ROWS(AI$166:AI170)-1)+1),"")</f>
        <v>0</v>
      </c>
      <c r="AJ170" s="25">
        <f>IFERROR(INDEX('N04-S06'!$BD$18:$BD$199,2*(ROWS(AJ$166:AJ170)-1)+1),"")</f>
        <v>0</v>
      </c>
      <c r="AK170" s="25">
        <f>IFERROR(INDEX('N04-S06'!$BE$18:$BE$199,2*(ROWS(AK$166:AK170)-1)+1),"")</f>
        <v>0</v>
      </c>
      <c r="AL170" s="207"/>
      <c r="AM170" s="207"/>
      <c r="AN170" s="207"/>
      <c r="AO170">
        <f>IFERROR(INDEX('N04-S06'!$B$18:$B$199,2*(ROWS(AO$166:AO170)-1)+1),"")</f>
        <v>0</v>
      </c>
      <c r="AP170" s="189"/>
      <c r="AQ170">
        <f>IFERROR(INDEX('N04-S06'!$C$18:$C$199,2*(ROWS(AQ$166:AQ170)-1)+1),"")</f>
        <v>0</v>
      </c>
      <c r="AR170">
        <f>IFERROR(INDEX('N04-S06'!$L$18:$L$199,2*(ROWS(AR$166:AR170)-1)+1),"")</f>
        <v>0</v>
      </c>
      <c r="AS170">
        <f>IFERROR(INDEX('N04-S06'!$T$18:$T$199,2*(ROWS(AS$166:AS170)-1)+1),"")</f>
        <v>0</v>
      </c>
      <c r="AT170" s="13">
        <f>IFERROR(INDEX('N04-S06'!$AY$18:$AY$199,2*(ROWS(AT$166:AT170)-1)+1),"")</f>
        <v>0</v>
      </c>
      <c r="AU170" s="13">
        <f>IFERROR(INDEX('N04-S06'!$AZ$18:$AZ$199,2*(ROWS(AU$166:AU170)-1)+1),"")</f>
        <v>0</v>
      </c>
      <c r="AV170">
        <f>IFERROR(INDEX('N04-S06'!$BA$18:$BA$199,2*(ROWS(AV$166:AV170)-1)+1),"")</f>
        <v>0</v>
      </c>
      <c r="AW170">
        <f>IFERROR(INDEX('N04-S06'!$BF$18:$BF$199,2*(ROWS(AW$166:AW170)-1)+1),"")</f>
        <v>0</v>
      </c>
      <c r="AX170" t="s">
        <v>820</v>
      </c>
      <c r="AY170" s="170"/>
      <c r="AZ170" s="170"/>
      <c r="BA170" s="170"/>
      <c r="BB170" s="170"/>
      <c r="BC170" s="170"/>
      <c r="BD170" s="170"/>
      <c r="BE170" s="170"/>
      <c r="BF170" s="170"/>
      <c r="BG170" s="170"/>
      <c r="BH170" s="170"/>
      <c r="BI170" s="170"/>
      <c r="BJ170" s="170"/>
      <c r="BK170" s="170"/>
    </row>
    <row r="171" spans="1:63">
      <c r="A171" s="14">
        <f t="shared" si="22"/>
        <v>0</v>
      </c>
      <c r="B171" t="str">
        <f t="shared" si="23"/>
        <v/>
      </c>
      <c r="C171" t="str">
        <f>IFERROR(IF(INDEX('N04-S06'!$BO$18:$BO$199,2*(ROWS($C$166:C171)-1)+1)="","",INDEX('N04-S06'!$BO$18:$BO$199,2*(ROWS($C$166:C171)-1)+1)),"")</f>
        <v/>
      </c>
      <c r="D171" t="s">
        <v>50</v>
      </c>
      <c r="E171" t="s">
        <v>38</v>
      </c>
      <c r="F171" t="s">
        <v>50</v>
      </c>
      <c r="G171">
        <f>IFERROR(INDEX('N04-S06'!$BG$18:$BG$199,2*(ROWS(G$166:G171)-1)+1),"")</f>
        <v>0</v>
      </c>
      <c r="H171" s="207"/>
      <c r="I171" s="189"/>
      <c r="J171" s="189"/>
      <c r="K171" s="189"/>
      <c r="L171" s="13" t="str">
        <f>IFERROR(ROUND(IF($AI171&lt;&gt;"","",INDEX('N04-S06'!$AE$18:$AE$199,2*(ROWS(L$166:L171)-1)+1)),2),"")</f>
        <v/>
      </c>
      <c r="N171" s="13" t="str">
        <f>IFERROR(ROUND(IF($AI171&lt;&gt;"","",INDEX('N04-S06'!$AH$18:$AH$199,2*(ROWS(N$166:N171)-1)+1)),2),"")</f>
        <v/>
      </c>
      <c r="O171" s="13" t="str">
        <f>IFERROR(ROUND(IF($AI171&lt;&gt;"","",INDEX('N04-S06'!$AB$18:$AB$199,2*(ROWS(O$166:O171)-1)+1)),2),"")</f>
        <v/>
      </c>
      <c r="P171" s="10" t="str">
        <f>IFERROR(IF(AI171&lt;&gt;"","",ROUND(INDEX('N04-S06'!$BB$18:$BB$199,2*(ROWS(P$166:P171)-1)+1),3)),"")</f>
        <v/>
      </c>
      <c r="Q171" s="10" t="str">
        <f>IFERROR(IF(AI171&lt;&gt;"","",ROUND(INDEX('N04-S06'!$BC$18:$BC$199,2*(ROWS(Q$166:Q171)-1)+1),3)),"")</f>
        <v/>
      </c>
      <c r="R171" s="207"/>
      <c r="S171" s="25" t="str">
        <f>IFERROR(IF(AI171&lt;&gt;"","",INDEX('N04-S06'!$AK$18:$AK$199,2*(ROWS(S$166:S171)-1)+1)),"")</f>
        <v/>
      </c>
      <c r="T171" s="31" t="str">
        <f>IFERROR(IF(AI171&lt;&gt;"","",INDEX('N04-S06'!$BI$18:$BI$199,2*(ROWS(T$166:T171)-1)+1)),"")</f>
        <v/>
      </c>
      <c r="U171" s="31" t="str">
        <f>IFERROR(IF(AI171&lt;&gt;"","",INDEX('N04-S06'!$BH$18:$BH$199,2*(ROWS(U$166:U171)-1)+1)),"")</f>
        <v/>
      </c>
      <c r="V171" s="13" t="str">
        <f>IFERROR(IF(AI171&lt;&gt;"","",INDEX('N04-S06'!$AN$18:$AN$199,2*(ROWS(V$166:V171)-1)+1)),"")</f>
        <v/>
      </c>
      <c r="W171" s="207"/>
      <c r="X171" s="207"/>
      <c r="Y171" s="13">
        <f>IFERROR(IF(AI171&lt;&gt;"",INDEX('N04-S06'!$AE$18:$AE$199,2*(ROWS(Y$166:Y171)-1)+1),""),"")</f>
        <v>0</v>
      </c>
      <c r="AA171" s="13">
        <f>IFERROR(IF($AI171&lt;&gt;"",INDEX('N04-S06'!$AH$18:$AH$199,2*(ROWS(AA$166:AA171)-1)+1),""),"")</f>
        <v>0</v>
      </c>
      <c r="AB171" s="13">
        <f>IFERROR(IF($AI171&lt;&gt;"",INDEX('N04-S06'!$AB$18:$AB$199,2*(ROWS(AB$166:AB171)-1)+1),""),"")</f>
        <v>0</v>
      </c>
      <c r="AC171" s="10">
        <f>IFERROR(IF(AI171&lt;&gt;"",ROUND(INDEX('N04-S06'!$BB$18:$BB$199,2*(ROWS(AC$166:AC171)-1)+1),3),""),"")</f>
        <v>0</v>
      </c>
      <c r="AD171" s="10">
        <f>IFERROR(IF(AI171&lt;&gt;"",ROUND(INDEX('N04-S06'!$BC$18:$BC$199,2*(ROWS(AD$166:AD171)-1)+1),3),""),"")</f>
        <v>0</v>
      </c>
      <c r="AE171" s="207"/>
      <c r="AF171" s="25">
        <f>IFERROR(IF(AI171&lt;&gt;"",INDEX('N04-S06'!$AK$18:$AK$199,2*(ROWS(AF$166:AF171)-1)+1),""),"")</f>
        <v>0</v>
      </c>
      <c r="AG171" s="31">
        <f>IFERROR(IF(AI171&lt;&gt;"",INDEX('N04-S06'!$BI$18:$BI$199,2*(ROWS(AG$166:AG171)-1)+1),""),"")</f>
        <v>0</v>
      </c>
      <c r="AH171" s="31">
        <f>IFERROR(IF(AI171&lt;&gt;"",INDEX('N04-S06'!$BH$18:$BH$199,2*(ROWS(AH$166:AH171)-1)+1),""),"")</f>
        <v>0</v>
      </c>
      <c r="AI171">
        <f>IFERROR(INDEX('N04-S06'!$BQ$18:$BQ$199,2*(ROWS(AI$166:AI171)-1)+1),"")</f>
        <v>0</v>
      </c>
      <c r="AJ171" s="25">
        <f>IFERROR(INDEX('N04-S06'!$BD$18:$BD$199,2*(ROWS(AJ$166:AJ171)-1)+1),"")</f>
        <v>0</v>
      </c>
      <c r="AK171" s="25">
        <f>IFERROR(INDEX('N04-S06'!$BE$18:$BE$199,2*(ROWS(AK$166:AK171)-1)+1),"")</f>
        <v>0</v>
      </c>
      <c r="AL171" s="207"/>
      <c r="AM171" s="207"/>
      <c r="AN171" s="207"/>
      <c r="AO171">
        <f>IFERROR(INDEX('N04-S06'!$B$18:$B$199,2*(ROWS(AO$166:AO171)-1)+1),"")</f>
        <v>0</v>
      </c>
      <c r="AP171" s="189"/>
      <c r="AQ171">
        <f>IFERROR(INDEX('N04-S06'!$C$18:$C$199,2*(ROWS(AQ$166:AQ171)-1)+1),"")</f>
        <v>0</v>
      </c>
      <c r="AR171">
        <f>IFERROR(INDEX('N04-S06'!$L$18:$L$199,2*(ROWS(AR$166:AR171)-1)+1),"")</f>
        <v>0</v>
      </c>
      <c r="AS171">
        <f>IFERROR(INDEX('N04-S06'!$T$18:$T$199,2*(ROWS(AS$166:AS171)-1)+1),"")</f>
        <v>0</v>
      </c>
      <c r="AT171" s="13">
        <f>IFERROR(INDEX('N04-S06'!$AY$18:$AY$199,2*(ROWS(AT$166:AT171)-1)+1),"")</f>
        <v>0</v>
      </c>
      <c r="AU171" s="13">
        <f>IFERROR(INDEX('N04-S06'!$AZ$18:$AZ$199,2*(ROWS(AU$166:AU171)-1)+1),"")</f>
        <v>0</v>
      </c>
      <c r="AV171">
        <f>IFERROR(INDEX('N04-S06'!$BA$18:$BA$199,2*(ROWS(AV$166:AV171)-1)+1),"")</f>
        <v>0</v>
      </c>
      <c r="AW171">
        <f>IFERROR(INDEX('N04-S06'!$BF$18:$BF$199,2*(ROWS(AW$166:AW171)-1)+1),"")</f>
        <v>0</v>
      </c>
      <c r="AX171" t="s">
        <v>820</v>
      </c>
      <c r="AY171" s="170"/>
      <c r="AZ171" s="170"/>
      <c r="BA171" s="170"/>
      <c r="BB171" s="170"/>
      <c r="BC171" s="170"/>
      <c r="BD171" s="170"/>
      <c r="BE171" s="170"/>
      <c r="BF171" s="170"/>
      <c r="BG171" s="170"/>
      <c r="BH171" s="170"/>
      <c r="BI171" s="170"/>
      <c r="BJ171" s="170"/>
      <c r="BK171" s="170"/>
    </row>
    <row r="172" spans="1:63">
      <c r="A172" s="14">
        <f t="shared" si="22"/>
        <v>0</v>
      </c>
      <c r="B172" t="str">
        <f t="shared" si="23"/>
        <v/>
      </c>
      <c r="C172" t="str">
        <f>IFERROR(IF(INDEX('N04-S06'!$BO$18:$BO$199,2*(ROWS($C$166:C172)-1)+1)="","",INDEX('N04-S06'!$BO$18:$BO$199,2*(ROWS($C$166:C172)-1)+1)),"")</f>
        <v/>
      </c>
      <c r="D172" t="s">
        <v>50</v>
      </c>
      <c r="E172" t="s">
        <v>38</v>
      </c>
      <c r="F172" t="s">
        <v>50</v>
      </c>
      <c r="G172">
        <f>IFERROR(INDEX('N04-S06'!$BG$18:$BG$199,2*(ROWS(G$166:G172)-1)+1),"")</f>
        <v>0</v>
      </c>
      <c r="H172" s="207"/>
      <c r="I172" s="189"/>
      <c r="J172" s="189"/>
      <c r="K172" s="189"/>
      <c r="L172" s="13" t="str">
        <f>IFERROR(ROUND(IF($AI172&lt;&gt;"","",INDEX('N04-S06'!$AE$18:$AE$199,2*(ROWS(L$166:L172)-1)+1)),2),"")</f>
        <v/>
      </c>
      <c r="N172" s="13" t="str">
        <f>IFERROR(ROUND(IF($AI172&lt;&gt;"","",INDEX('N04-S06'!$AH$18:$AH$199,2*(ROWS(N$166:N172)-1)+1)),2),"")</f>
        <v/>
      </c>
      <c r="O172" s="13" t="str">
        <f>IFERROR(ROUND(IF($AI172&lt;&gt;"","",INDEX('N04-S06'!$AB$18:$AB$199,2*(ROWS(O$166:O172)-1)+1)),2),"")</f>
        <v/>
      </c>
      <c r="P172" s="10" t="str">
        <f>IFERROR(IF(AI172&lt;&gt;"","",ROUND(INDEX('N04-S06'!$BB$18:$BB$199,2*(ROWS(P$166:P172)-1)+1),3)),"")</f>
        <v/>
      </c>
      <c r="Q172" s="10" t="str">
        <f>IFERROR(IF(AI172&lt;&gt;"","",ROUND(INDEX('N04-S06'!$BC$18:$BC$199,2*(ROWS(Q$166:Q172)-1)+1),3)),"")</f>
        <v/>
      </c>
      <c r="R172" s="207"/>
      <c r="S172" s="25" t="str">
        <f>IFERROR(IF(AI172&lt;&gt;"","",INDEX('N04-S06'!$AK$18:$AK$199,2*(ROWS(S$166:S172)-1)+1)),"")</f>
        <v/>
      </c>
      <c r="T172" s="31" t="str">
        <f>IFERROR(IF(AI172&lt;&gt;"","",INDEX('N04-S06'!$BI$18:$BI$199,2*(ROWS(T$166:T172)-1)+1)),"")</f>
        <v/>
      </c>
      <c r="U172" s="31" t="str">
        <f>IFERROR(IF(AI172&lt;&gt;"","",INDEX('N04-S06'!$BH$18:$BH$199,2*(ROWS(U$166:U172)-1)+1)),"")</f>
        <v/>
      </c>
      <c r="V172" s="13" t="str">
        <f>IFERROR(IF(AI172&lt;&gt;"","",INDEX('N04-S06'!$AN$18:$AN$199,2*(ROWS(V$166:V172)-1)+1)),"")</f>
        <v/>
      </c>
      <c r="W172" s="207"/>
      <c r="X172" s="207"/>
      <c r="Y172" s="13">
        <f>IFERROR(IF(AI172&lt;&gt;"",INDEX('N04-S06'!$AE$18:$AE$199,2*(ROWS(Y$166:Y172)-1)+1),""),"")</f>
        <v>0</v>
      </c>
      <c r="AA172" s="13">
        <f>IFERROR(IF($AI172&lt;&gt;"",INDEX('N04-S06'!$AH$18:$AH$199,2*(ROWS(AA$166:AA172)-1)+1),""),"")</f>
        <v>0</v>
      </c>
      <c r="AB172" s="13">
        <f>IFERROR(IF($AI172&lt;&gt;"",INDEX('N04-S06'!$AB$18:$AB$199,2*(ROWS(AB$166:AB172)-1)+1),""),"")</f>
        <v>0</v>
      </c>
      <c r="AC172" s="10">
        <f>IFERROR(IF(AI172&lt;&gt;"",ROUND(INDEX('N04-S06'!$BB$18:$BB$199,2*(ROWS(AC$166:AC172)-1)+1),3),""),"")</f>
        <v>0</v>
      </c>
      <c r="AD172" s="10">
        <f>IFERROR(IF(AI172&lt;&gt;"",ROUND(INDEX('N04-S06'!$BC$18:$BC$199,2*(ROWS(AD$166:AD172)-1)+1),3),""),"")</f>
        <v>0</v>
      </c>
      <c r="AE172" s="207"/>
      <c r="AF172" s="25">
        <f>IFERROR(IF(AI172&lt;&gt;"",INDEX('N04-S06'!$AK$18:$AK$199,2*(ROWS(AF$166:AF172)-1)+1),""),"")</f>
        <v>0</v>
      </c>
      <c r="AG172" s="31">
        <f>IFERROR(IF(AI172&lt;&gt;"",INDEX('N04-S06'!$BI$18:$BI$199,2*(ROWS(AG$166:AG172)-1)+1),""),"")</f>
        <v>0</v>
      </c>
      <c r="AH172" s="31">
        <f>IFERROR(IF(AI172&lt;&gt;"",INDEX('N04-S06'!$BH$18:$BH$199,2*(ROWS(AH$166:AH172)-1)+1),""),"")</f>
        <v>0</v>
      </c>
      <c r="AI172">
        <f>IFERROR(INDEX('N04-S06'!$BQ$18:$BQ$199,2*(ROWS(AI$166:AI172)-1)+1),"")</f>
        <v>0</v>
      </c>
      <c r="AJ172" s="25">
        <f>IFERROR(INDEX('N04-S06'!$BD$18:$BD$199,2*(ROWS(AJ$166:AJ172)-1)+1),"")</f>
        <v>0</v>
      </c>
      <c r="AK172" s="25">
        <f>IFERROR(INDEX('N04-S06'!$BE$18:$BE$199,2*(ROWS(AK$166:AK172)-1)+1),"")</f>
        <v>0</v>
      </c>
      <c r="AL172" s="207"/>
      <c r="AM172" s="207"/>
      <c r="AN172" s="207"/>
      <c r="AO172">
        <f>IFERROR(INDEX('N04-S06'!$B$18:$B$199,2*(ROWS(AO$166:AO172)-1)+1),"")</f>
        <v>0</v>
      </c>
      <c r="AP172" s="189"/>
      <c r="AQ172">
        <f>IFERROR(INDEX('N04-S06'!$C$18:$C$199,2*(ROWS(AQ$166:AQ172)-1)+1),"")</f>
        <v>0</v>
      </c>
      <c r="AR172">
        <f>IFERROR(INDEX('N04-S06'!$L$18:$L$199,2*(ROWS(AR$166:AR172)-1)+1),"")</f>
        <v>0</v>
      </c>
      <c r="AS172">
        <f>IFERROR(INDEX('N04-S06'!$T$18:$T$199,2*(ROWS(AS$166:AS172)-1)+1),"")</f>
        <v>0</v>
      </c>
      <c r="AT172" s="13">
        <f>IFERROR(INDEX('N04-S06'!$AY$18:$AY$199,2*(ROWS(AT$166:AT172)-1)+1),"")</f>
        <v>0</v>
      </c>
      <c r="AU172" s="13">
        <f>IFERROR(INDEX('N04-S06'!$AZ$18:$AZ$199,2*(ROWS(AU$166:AU172)-1)+1),"")</f>
        <v>0</v>
      </c>
      <c r="AV172">
        <f>IFERROR(INDEX('N04-S06'!$BA$18:$BA$199,2*(ROWS(AV$166:AV172)-1)+1),"")</f>
        <v>0</v>
      </c>
      <c r="AW172">
        <f>IFERROR(INDEX('N04-S06'!$BF$18:$BF$199,2*(ROWS(AW$166:AW172)-1)+1),"")</f>
        <v>0</v>
      </c>
      <c r="AX172" t="s">
        <v>820</v>
      </c>
      <c r="AY172" s="170"/>
      <c r="AZ172" s="170"/>
      <c r="BA172" s="170"/>
      <c r="BB172" s="170"/>
      <c r="BC172" s="170"/>
      <c r="BD172" s="170"/>
      <c r="BE172" s="170"/>
      <c r="BF172" s="170"/>
      <c r="BG172" s="170"/>
      <c r="BH172" s="170"/>
      <c r="BI172" s="170"/>
      <c r="BJ172" s="170"/>
      <c r="BK172" s="170"/>
    </row>
    <row r="173" spans="1:63">
      <c r="A173" s="14">
        <f t="shared" si="22"/>
        <v>0</v>
      </c>
      <c r="B173" t="str">
        <f t="shared" si="23"/>
        <v/>
      </c>
      <c r="C173" t="str">
        <f>IFERROR(IF(INDEX('N04-S06'!$BO$18:$BO$199,2*(ROWS($C$166:C173)-1)+1)="","",INDEX('N04-S06'!$BO$18:$BO$199,2*(ROWS($C$166:C173)-1)+1)),"")</f>
        <v/>
      </c>
      <c r="D173" t="s">
        <v>50</v>
      </c>
      <c r="E173" t="s">
        <v>38</v>
      </c>
      <c r="F173" t="s">
        <v>50</v>
      </c>
      <c r="G173">
        <f>IFERROR(INDEX('N04-S06'!$BG$18:$BG$199,2*(ROWS(G$166:G173)-1)+1),"")</f>
        <v>0</v>
      </c>
      <c r="H173" s="207"/>
      <c r="I173" s="189"/>
      <c r="J173" s="189"/>
      <c r="K173" s="189"/>
      <c r="L173" s="13" t="str">
        <f>IFERROR(ROUND(IF($AI173&lt;&gt;"","",INDEX('N04-S06'!$AE$18:$AE$199,2*(ROWS(L$166:L173)-1)+1)),2),"")</f>
        <v/>
      </c>
      <c r="N173" s="13" t="str">
        <f>IFERROR(ROUND(IF($AI173&lt;&gt;"","",INDEX('N04-S06'!$AH$18:$AH$199,2*(ROWS(N$166:N173)-1)+1)),2),"")</f>
        <v/>
      </c>
      <c r="O173" s="13" t="str">
        <f>IFERROR(ROUND(IF($AI173&lt;&gt;"","",INDEX('N04-S06'!$AB$18:$AB$199,2*(ROWS(O$166:O173)-1)+1)),2),"")</f>
        <v/>
      </c>
      <c r="P173" s="10" t="str">
        <f>IFERROR(IF(AI173&lt;&gt;"","",ROUND(INDEX('N04-S06'!$BB$18:$BB$199,2*(ROWS(P$166:P173)-1)+1),3)),"")</f>
        <v/>
      </c>
      <c r="Q173" s="10" t="str">
        <f>IFERROR(IF(AI173&lt;&gt;"","",ROUND(INDEX('N04-S06'!$BC$18:$BC$199,2*(ROWS(Q$166:Q173)-1)+1),3)),"")</f>
        <v/>
      </c>
      <c r="R173" s="207"/>
      <c r="S173" s="25" t="str">
        <f>IFERROR(IF(AI173&lt;&gt;"","",INDEX('N04-S06'!$AK$18:$AK$199,2*(ROWS(S$166:S173)-1)+1)),"")</f>
        <v/>
      </c>
      <c r="T173" s="31" t="str">
        <f>IFERROR(IF(AI173&lt;&gt;"","",INDEX('N04-S06'!$BI$18:$BI$199,2*(ROWS(T$166:T173)-1)+1)),"")</f>
        <v/>
      </c>
      <c r="U173" s="31" t="str">
        <f>IFERROR(IF(AI173&lt;&gt;"","",INDEX('N04-S06'!$BH$18:$BH$199,2*(ROWS(U$166:U173)-1)+1)),"")</f>
        <v/>
      </c>
      <c r="V173" s="13" t="str">
        <f>IFERROR(IF(AI173&lt;&gt;"","",INDEX('N04-S06'!$AN$18:$AN$199,2*(ROWS(V$166:V173)-1)+1)),"")</f>
        <v/>
      </c>
      <c r="W173" s="207"/>
      <c r="X173" s="207"/>
      <c r="Y173" s="13">
        <f>IFERROR(IF(AI173&lt;&gt;"",INDEX('N04-S06'!$AE$18:$AE$199,2*(ROWS(Y$166:Y173)-1)+1),""),"")</f>
        <v>0</v>
      </c>
      <c r="AA173" s="13">
        <f>IFERROR(IF($AI173&lt;&gt;"",INDEX('N04-S06'!$AH$18:$AH$199,2*(ROWS(AA$166:AA173)-1)+1),""),"")</f>
        <v>0</v>
      </c>
      <c r="AB173" s="13">
        <f>IFERROR(IF($AI173&lt;&gt;"",INDEX('N04-S06'!$AB$18:$AB$199,2*(ROWS(AB$166:AB173)-1)+1),""),"")</f>
        <v>0</v>
      </c>
      <c r="AC173" s="10">
        <f>IFERROR(IF(AI173&lt;&gt;"",ROUND(INDEX('N04-S06'!$BB$18:$BB$199,2*(ROWS(AC$166:AC173)-1)+1),3),""),"")</f>
        <v>0</v>
      </c>
      <c r="AD173" s="10">
        <f>IFERROR(IF(AI173&lt;&gt;"",ROUND(INDEX('N04-S06'!$BC$18:$BC$199,2*(ROWS(AD$166:AD173)-1)+1),3),""),"")</f>
        <v>0</v>
      </c>
      <c r="AE173" s="207"/>
      <c r="AF173" s="25">
        <f>IFERROR(IF(AI173&lt;&gt;"",INDEX('N04-S06'!$AK$18:$AK$199,2*(ROWS(AF$166:AF173)-1)+1),""),"")</f>
        <v>0</v>
      </c>
      <c r="AG173" s="31">
        <f>IFERROR(IF(AI173&lt;&gt;"",INDEX('N04-S06'!$BI$18:$BI$199,2*(ROWS(AG$166:AG173)-1)+1),""),"")</f>
        <v>0</v>
      </c>
      <c r="AH173" s="31">
        <f>IFERROR(IF(AI173&lt;&gt;"",INDEX('N04-S06'!$BH$18:$BH$199,2*(ROWS(AH$166:AH173)-1)+1),""),"")</f>
        <v>0</v>
      </c>
      <c r="AI173">
        <f>IFERROR(INDEX('N04-S06'!$BQ$18:$BQ$199,2*(ROWS(AI$166:AI173)-1)+1),"")</f>
        <v>0</v>
      </c>
      <c r="AJ173" s="25">
        <f>IFERROR(INDEX('N04-S06'!$BD$18:$BD$199,2*(ROWS(AJ$166:AJ173)-1)+1),"")</f>
        <v>0</v>
      </c>
      <c r="AK173" s="25">
        <f>IFERROR(INDEX('N04-S06'!$BE$18:$BE$199,2*(ROWS(AK$166:AK173)-1)+1),"")</f>
        <v>0</v>
      </c>
      <c r="AL173" s="207"/>
      <c r="AM173" s="207"/>
      <c r="AN173" s="207"/>
      <c r="AO173">
        <f>IFERROR(INDEX('N04-S06'!$B$18:$B$199,2*(ROWS(AO$166:AO173)-1)+1),"")</f>
        <v>0</v>
      </c>
      <c r="AP173" s="189"/>
      <c r="AQ173">
        <f>IFERROR(INDEX('N04-S06'!$C$18:$C$199,2*(ROWS(AQ$166:AQ173)-1)+1),"")</f>
        <v>0</v>
      </c>
      <c r="AR173">
        <f>IFERROR(INDEX('N04-S06'!$L$18:$L$199,2*(ROWS(AR$166:AR173)-1)+1),"")</f>
        <v>0</v>
      </c>
      <c r="AS173">
        <f>IFERROR(INDEX('N04-S06'!$T$18:$T$199,2*(ROWS(AS$166:AS173)-1)+1),"")</f>
        <v>0</v>
      </c>
      <c r="AT173" s="13">
        <f>IFERROR(INDEX('N04-S06'!$AY$18:$AY$199,2*(ROWS(AT$166:AT173)-1)+1),"")</f>
        <v>0</v>
      </c>
      <c r="AU173" s="13">
        <f>IFERROR(INDEX('N04-S06'!$AZ$18:$AZ$199,2*(ROWS(AU$166:AU173)-1)+1),"")</f>
        <v>0</v>
      </c>
      <c r="AV173">
        <f>IFERROR(INDEX('N04-S06'!$BA$18:$BA$199,2*(ROWS(AV$166:AV173)-1)+1),"")</f>
        <v>0</v>
      </c>
      <c r="AW173">
        <f>IFERROR(INDEX('N04-S06'!$BF$18:$BF$199,2*(ROWS(AW$166:AW173)-1)+1),"")</f>
        <v>0</v>
      </c>
      <c r="AX173" t="s">
        <v>820</v>
      </c>
      <c r="AY173" s="170"/>
      <c r="AZ173" s="170"/>
      <c r="BA173" s="170"/>
      <c r="BB173" s="170"/>
      <c r="BC173" s="170"/>
      <c r="BD173" s="170"/>
      <c r="BE173" s="170"/>
      <c r="BF173" s="170"/>
      <c r="BG173" s="170"/>
      <c r="BH173" s="170"/>
      <c r="BI173" s="170"/>
      <c r="BJ173" s="170"/>
      <c r="BK173" s="170"/>
    </row>
    <row r="174" spans="1:63">
      <c r="A174" s="14">
        <f t="shared" si="22"/>
        <v>0</v>
      </c>
      <c r="B174" t="str">
        <f t="shared" si="23"/>
        <v/>
      </c>
      <c r="C174" t="str">
        <f>IFERROR(IF(INDEX('N04-S06'!$BO$18:$BO$199,2*(ROWS($C$166:C174)-1)+1)="","",INDEX('N04-S06'!$BO$18:$BO$199,2*(ROWS($C$166:C174)-1)+1)),"")</f>
        <v/>
      </c>
      <c r="D174" t="s">
        <v>50</v>
      </c>
      <c r="E174" t="s">
        <v>38</v>
      </c>
      <c r="F174" t="s">
        <v>50</v>
      </c>
      <c r="G174">
        <f>IFERROR(INDEX('N04-S06'!$BG$18:$BG$199,2*(ROWS(G$166:G174)-1)+1),"")</f>
        <v>0</v>
      </c>
      <c r="H174" s="207"/>
      <c r="I174" s="189"/>
      <c r="J174" s="189"/>
      <c r="K174" s="189"/>
      <c r="L174" s="13" t="str">
        <f>IFERROR(ROUND(IF($AI174&lt;&gt;"","",INDEX('N04-S06'!$AE$18:$AE$199,2*(ROWS(L$166:L174)-1)+1)),2),"")</f>
        <v/>
      </c>
      <c r="N174" s="13" t="str">
        <f>IFERROR(ROUND(IF($AI174&lt;&gt;"","",INDEX('N04-S06'!$AH$18:$AH$199,2*(ROWS(N$166:N174)-1)+1)),2),"")</f>
        <v/>
      </c>
      <c r="O174" s="13" t="str">
        <f>IFERROR(ROUND(IF($AI174&lt;&gt;"","",INDEX('N04-S06'!$AB$18:$AB$199,2*(ROWS(O$166:O174)-1)+1)),2),"")</f>
        <v/>
      </c>
      <c r="P174" s="10" t="str">
        <f>IFERROR(IF(AI174&lt;&gt;"","",ROUND(INDEX('N04-S06'!$BB$18:$BB$199,2*(ROWS(P$166:P174)-1)+1),3)),"")</f>
        <v/>
      </c>
      <c r="Q174" s="10" t="str">
        <f>IFERROR(IF(AI174&lt;&gt;"","",ROUND(INDEX('N04-S06'!$BC$18:$BC$199,2*(ROWS(Q$166:Q174)-1)+1),3)),"")</f>
        <v/>
      </c>
      <c r="R174" s="207"/>
      <c r="S174" s="25" t="str">
        <f>IFERROR(IF(AI174&lt;&gt;"","",INDEX('N04-S06'!$AK$18:$AK$199,2*(ROWS(S$166:S174)-1)+1)),"")</f>
        <v/>
      </c>
      <c r="T174" s="31" t="str">
        <f>IFERROR(IF(AI174&lt;&gt;"","",INDEX('N04-S06'!$BI$18:$BI$199,2*(ROWS(T$166:T174)-1)+1)),"")</f>
        <v/>
      </c>
      <c r="U174" s="31" t="str">
        <f>IFERROR(IF(AI174&lt;&gt;"","",INDEX('N04-S06'!$BH$18:$BH$199,2*(ROWS(U$166:U174)-1)+1)),"")</f>
        <v/>
      </c>
      <c r="V174" s="13" t="str">
        <f>IFERROR(IF(AI174&lt;&gt;"","",INDEX('N04-S06'!$AN$18:$AN$199,2*(ROWS(V$166:V174)-1)+1)),"")</f>
        <v/>
      </c>
      <c r="W174" s="207"/>
      <c r="X174" s="207"/>
      <c r="Y174" s="13">
        <f>IFERROR(IF(AI174&lt;&gt;"",INDEX('N04-S06'!$AE$18:$AE$199,2*(ROWS(Y$166:Y174)-1)+1),""),"")</f>
        <v>0</v>
      </c>
      <c r="AA174" s="13">
        <f>IFERROR(IF($AI174&lt;&gt;"",INDEX('N04-S06'!$AH$18:$AH$199,2*(ROWS(AA$166:AA174)-1)+1),""),"")</f>
        <v>0</v>
      </c>
      <c r="AB174" s="13">
        <f>IFERROR(IF($AI174&lt;&gt;"",INDEX('N04-S06'!$AB$18:$AB$199,2*(ROWS(AB$166:AB174)-1)+1),""),"")</f>
        <v>0</v>
      </c>
      <c r="AC174" s="10">
        <f>IFERROR(IF(AI174&lt;&gt;"",ROUND(INDEX('N04-S06'!$BB$18:$BB$199,2*(ROWS(AC$166:AC174)-1)+1),3),""),"")</f>
        <v>0</v>
      </c>
      <c r="AD174" s="10">
        <f>IFERROR(IF(AI174&lt;&gt;"",ROUND(INDEX('N04-S06'!$BC$18:$BC$199,2*(ROWS(AD$166:AD174)-1)+1),3),""),"")</f>
        <v>0</v>
      </c>
      <c r="AE174" s="207"/>
      <c r="AF174" s="25">
        <f>IFERROR(IF(AI174&lt;&gt;"",INDEX('N04-S06'!$AK$18:$AK$199,2*(ROWS(AF$166:AF174)-1)+1),""),"")</f>
        <v>0</v>
      </c>
      <c r="AG174" s="31">
        <f>IFERROR(IF(AI174&lt;&gt;"",INDEX('N04-S06'!$BI$18:$BI$199,2*(ROWS(AG$166:AG174)-1)+1),""),"")</f>
        <v>0</v>
      </c>
      <c r="AH174" s="31">
        <f>IFERROR(IF(AI174&lt;&gt;"",INDEX('N04-S06'!$BH$18:$BH$199,2*(ROWS(AH$166:AH174)-1)+1),""),"")</f>
        <v>0</v>
      </c>
      <c r="AI174">
        <f>IFERROR(INDEX('N04-S06'!$BQ$18:$BQ$199,2*(ROWS(AI$166:AI174)-1)+1),"")</f>
        <v>0</v>
      </c>
      <c r="AJ174" s="25">
        <f>IFERROR(INDEX('N04-S06'!$BD$18:$BD$199,2*(ROWS(AJ$166:AJ174)-1)+1),"")</f>
        <v>0</v>
      </c>
      <c r="AK174" s="25">
        <f>IFERROR(INDEX('N04-S06'!$BE$18:$BE$199,2*(ROWS(AK$166:AK174)-1)+1),"")</f>
        <v>0</v>
      </c>
      <c r="AL174" s="207"/>
      <c r="AM174" s="207"/>
      <c r="AN174" s="207"/>
      <c r="AO174">
        <f>IFERROR(INDEX('N04-S06'!$B$18:$B$199,2*(ROWS(AO$166:AO174)-1)+1),"")</f>
        <v>0</v>
      </c>
      <c r="AP174" s="189"/>
      <c r="AQ174">
        <f>IFERROR(INDEX('N04-S06'!$C$18:$C$199,2*(ROWS(AQ$166:AQ174)-1)+1),"")</f>
        <v>0</v>
      </c>
      <c r="AR174">
        <f>IFERROR(INDEX('N04-S06'!$L$18:$L$199,2*(ROWS(AR$166:AR174)-1)+1),"")</f>
        <v>0</v>
      </c>
      <c r="AS174">
        <f>IFERROR(INDEX('N04-S06'!$T$18:$T$199,2*(ROWS(AS$166:AS174)-1)+1),"")</f>
        <v>0</v>
      </c>
      <c r="AT174" s="13">
        <f>IFERROR(INDEX('N04-S06'!$AY$18:$AY$199,2*(ROWS(AT$166:AT174)-1)+1),"")</f>
        <v>0</v>
      </c>
      <c r="AU174" s="13">
        <f>IFERROR(INDEX('N04-S06'!$AZ$18:$AZ$199,2*(ROWS(AU$166:AU174)-1)+1),"")</f>
        <v>0</v>
      </c>
      <c r="AV174">
        <f>IFERROR(INDEX('N04-S06'!$BA$18:$BA$199,2*(ROWS(AV$166:AV174)-1)+1),"")</f>
        <v>0</v>
      </c>
      <c r="AW174">
        <f>IFERROR(INDEX('N04-S06'!$BF$18:$BF$199,2*(ROWS(AW$166:AW174)-1)+1),"")</f>
        <v>0</v>
      </c>
      <c r="AX174" t="s">
        <v>820</v>
      </c>
      <c r="AY174" s="170"/>
      <c r="AZ174" s="170"/>
      <c r="BA174" s="170"/>
      <c r="BB174" s="170"/>
      <c r="BC174" s="170"/>
      <c r="BD174" s="170"/>
      <c r="BE174" s="170"/>
      <c r="BF174" s="170"/>
      <c r="BG174" s="170"/>
      <c r="BH174" s="170"/>
      <c r="BI174" s="170"/>
      <c r="BJ174" s="170"/>
      <c r="BK174" s="170"/>
    </row>
    <row r="175" spans="1:63">
      <c r="A175" s="14">
        <f t="shared" si="22"/>
        <v>0</v>
      </c>
      <c r="B175" t="str">
        <f t="shared" si="23"/>
        <v/>
      </c>
      <c r="C175" t="str">
        <f>IFERROR(IF(INDEX('N04-S06'!$BO$18:$BO$199,2*(ROWS($C$166:C175)-1)+1)="","",INDEX('N04-S06'!$BO$18:$BO$199,2*(ROWS($C$166:C175)-1)+1)),"")</f>
        <v/>
      </c>
      <c r="D175" t="s">
        <v>50</v>
      </c>
      <c r="E175" t="s">
        <v>38</v>
      </c>
      <c r="F175" t="s">
        <v>50</v>
      </c>
      <c r="G175">
        <f>IFERROR(INDEX('N04-S06'!$BG$18:$BG$199,2*(ROWS(G$166:G175)-1)+1),"")</f>
        <v>0</v>
      </c>
      <c r="H175" s="207"/>
      <c r="I175" s="189"/>
      <c r="J175" s="189"/>
      <c r="K175" s="189"/>
      <c r="L175" s="13" t="str">
        <f>IFERROR(ROUND(IF($AI175&lt;&gt;"","",INDEX('N04-S06'!$AE$18:$AE$199,2*(ROWS(L$166:L175)-1)+1)),2),"")</f>
        <v/>
      </c>
      <c r="N175" s="13" t="str">
        <f>IFERROR(ROUND(IF($AI175&lt;&gt;"","",INDEX('N04-S06'!$AH$18:$AH$199,2*(ROWS(N$166:N175)-1)+1)),2),"")</f>
        <v/>
      </c>
      <c r="O175" s="13" t="str">
        <f>IFERROR(ROUND(IF($AI175&lt;&gt;"","",INDEX('N04-S06'!$AB$18:$AB$199,2*(ROWS(O$166:O175)-1)+1)),2),"")</f>
        <v/>
      </c>
      <c r="P175" s="10" t="str">
        <f>IFERROR(IF(AI175&lt;&gt;"","",ROUND(INDEX('N04-S06'!$BB$18:$BB$199,2*(ROWS(P$166:P175)-1)+1),3)),"")</f>
        <v/>
      </c>
      <c r="Q175" s="10" t="str">
        <f>IFERROR(IF(AI175&lt;&gt;"","",ROUND(INDEX('N04-S06'!$BC$18:$BC$199,2*(ROWS(Q$166:Q175)-1)+1),3)),"")</f>
        <v/>
      </c>
      <c r="R175" s="207"/>
      <c r="S175" s="25" t="str">
        <f>IFERROR(IF(AI175&lt;&gt;"","",INDEX('N04-S06'!$AK$18:$AK$199,2*(ROWS(S$166:S175)-1)+1)),"")</f>
        <v/>
      </c>
      <c r="T175" s="31" t="str">
        <f>IFERROR(IF(AI175&lt;&gt;"","",INDEX('N04-S06'!$BI$18:$BI$199,2*(ROWS(T$166:T175)-1)+1)),"")</f>
        <v/>
      </c>
      <c r="U175" s="31" t="str">
        <f>IFERROR(IF(AI175&lt;&gt;"","",INDEX('N04-S06'!$BH$18:$BH$199,2*(ROWS(U$166:U175)-1)+1)),"")</f>
        <v/>
      </c>
      <c r="V175" s="13" t="str">
        <f>IFERROR(IF(AI175&lt;&gt;"","",INDEX('N04-S06'!$AN$18:$AN$199,2*(ROWS(V$166:V175)-1)+1)),"")</f>
        <v/>
      </c>
      <c r="W175" s="207"/>
      <c r="X175" s="207"/>
      <c r="Y175" s="13">
        <f>IFERROR(IF(AI175&lt;&gt;"",INDEX('N04-S06'!$AE$18:$AE$199,2*(ROWS(Y$166:Y175)-1)+1),""),"")</f>
        <v>0</v>
      </c>
      <c r="AA175" s="13">
        <f>IFERROR(IF($AI175&lt;&gt;"",INDEX('N04-S06'!$AH$18:$AH$199,2*(ROWS(AA$166:AA175)-1)+1),""),"")</f>
        <v>0</v>
      </c>
      <c r="AB175" s="13">
        <f>IFERROR(IF($AI175&lt;&gt;"",INDEX('N04-S06'!$AB$18:$AB$199,2*(ROWS(AB$166:AB175)-1)+1),""),"")</f>
        <v>0</v>
      </c>
      <c r="AC175" s="10">
        <f>IFERROR(IF(AI175&lt;&gt;"",ROUND(INDEX('N04-S06'!$BB$18:$BB$199,2*(ROWS(AC$166:AC175)-1)+1),3),""),"")</f>
        <v>0</v>
      </c>
      <c r="AD175" s="10">
        <f>IFERROR(IF(AI175&lt;&gt;"",ROUND(INDEX('N04-S06'!$BC$18:$BC$199,2*(ROWS(AD$166:AD175)-1)+1),3),""),"")</f>
        <v>0</v>
      </c>
      <c r="AE175" s="207"/>
      <c r="AF175" s="25">
        <f>IFERROR(IF(AI175&lt;&gt;"",INDEX('N04-S06'!$AK$18:$AK$199,2*(ROWS(AF$166:AF175)-1)+1),""),"")</f>
        <v>0</v>
      </c>
      <c r="AG175" s="31">
        <f>IFERROR(IF(AI175&lt;&gt;"",INDEX('N04-S06'!$BI$18:$BI$199,2*(ROWS(AG$166:AG175)-1)+1),""),"")</f>
        <v>0</v>
      </c>
      <c r="AH175" s="31">
        <f>IFERROR(IF(AI175&lt;&gt;"",INDEX('N04-S06'!$BH$18:$BH$199,2*(ROWS(AH$166:AH175)-1)+1),""),"")</f>
        <v>0</v>
      </c>
      <c r="AI175">
        <f>IFERROR(INDEX('N04-S06'!$BQ$18:$BQ$199,2*(ROWS(AI$166:AI175)-1)+1),"")</f>
        <v>0</v>
      </c>
      <c r="AJ175" s="25">
        <f>IFERROR(INDEX('N04-S06'!$BD$18:$BD$199,2*(ROWS(AJ$166:AJ175)-1)+1),"")</f>
        <v>0</v>
      </c>
      <c r="AK175" s="25">
        <f>IFERROR(INDEX('N04-S06'!$BE$18:$BE$199,2*(ROWS(AK$166:AK175)-1)+1),"")</f>
        <v>0</v>
      </c>
      <c r="AL175" s="207"/>
      <c r="AM175" s="207"/>
      <c r="AN175" s="207"/>
      <c r="AO175">
        <f>IFERROR(INDEX('N04-S06'!$B$18:$B$199,2*(ROWS(AO$166:AO175)-1)+1),"")</f>
        <v>0</v>
      </c>
      <c r="AP175" s="189"/>
      <c r="AQ175">
        <f>IFERROR(INDEX('N04-S06'!$C$18:$C$199,2*(ROWS(AQ$166:AQ175)-1)+1),"")</f>
        <v>0</v>
      </c>
      <c r="AR175">
        <f>IFERROR(INDEX('N04-S06'!$L$18:$L$199,2*(ROWS(AR$166:AR175)-1)+1),"")</f>
        <v>0</v>
      </c>
      <c r="AS175">
        <f>IFERROR(INDEX('N04-S06'!$T$18:$T$199,2*(ROWS(AS$166:AS175)-1)+1),"")</f>
        <v>0</v>
      </c>
      <c r="AT175" s="13">
        <f>IFERROR(INDEX('N04-S06'!$AY$18:$AY$199,2*(ROWS(AT$166:AT175)-1)+1),"")</f>
        <v>0</v>
      </c>
      <c r="AU175" s="13">
        <f>IFERROR(INDEX('N04-S06'!$AZ$18:$AZ$199,2*(ROWS(AU$166:AU175)-1)+1),"")</f>
        <v>0</v>
      </c>
      <c r="AV175">
        <f>IFERROR(INDEX('N04-S06'!$BA$18:$BA$199,2*(ROWS(AV$166:AV175)-1)+1),"")</f>
        <v>0</v>
      </c>
      <c r="AW175">
        <f>IFERROR(INDEX('N04-S06'!$BF$18:$BF$199,2*(ROWS(AW$166:AW175)-1)+1),"")</f>
        <v>0</v>
      </c>
      <c r="AX175" t="s">
        <v>820</v>
      </c>
      <c r="AY175" s="170"/>
      <c r="AZ175" s="170"/>
      <c r="BA175" s="170"/>
      <c r="BB175" s="170"/>
      <c r="BC175" s="170"/>
      <c r="BD175" s="170"/>
      <c r="BE175" s="170"/>
      <c r="BF175" s="170"/>
      <c r="BG175" s="170"/>
      <c r="BH175" s="170"/>
      <c r="BI175" s="170"/>
      <c r="BJ175" s="170"/>
      <c r="BK175" s="170"/>
    </row>
    <row r="176" spans="1:63">
      <c r="A176" s="14">
        <f t="shared" si="22"/>
        <v>0</v>
      </c>
      <c r="B176" t="str">
        <f t="shared" si="23"/>
        <v/>
      </c>
      <c r="C176" t="str">
        <f>IFERROR(IF(INDEX('N04-S06'!$BO$18:$BO$199,2*(ROWS($C$166:C176)-1)+1)="","",INDEX('N04-S06'!$BO$18:$BO$199,2*(ROWS($C$166:C176)-1)+1)),"")</f>
        <v/>
      </c>
      <c r="D176" t="s">
        <v>50</v>
      </c>
      <c r="E176" t="s">
        <v>38</v>
      </c>
      <c r="F176" t="s">
        <v>50</v>
      </c>
      <c r="G176">
        <f>IFERROR(INDEX('N04-S06'!$BG$18:$BG$199,2*(ROWS(G$166:G176)-1)+1),"")</f>
        <v>0</v>
      </c>
      <c r="H176" s="207"/>
      <c r="I176" s="189"/>
      <c r="J176" s="189"/>
      <c r="K176" s="189"/>
      <c r="L176" s="13" t="str">
        <f>IFERROR(ROUND(IF($AI176&lt;&gt;"","",INDEX('N04-S06'!$AE$18:$AE$199,2*(ROWS(L$166:L176)-1)+1)),2),"")</f>
        <v/>
      </c>
      <c r="N176" s="13" t="str">
        <f>IFERROR(ROUND(IF($AI176&lt;&gt;"","",INDEX('N04-S06'!$AH$18:$AH$199,2*(ROWS(N$166:N176)-1)+1)),2),"")</f>
        <v/>
      </c>
      <c r="O176" s="13" t="str">
        <f>IFERROR(ROUND(IF($AI176&lt;&gt;"","",INDEX('N04-S06'!$AB$18:$AB$199,2*(ROWS(O$166:O176)-1)+1)),2),"")</f>
        <v/>
      </c>
      <c r="P176" s="10" t="str">
        <f>IFERROR(IF(AI176&lt;&gt;"","",ROUND(INDEX('N04-S06'!$BB$18:$BB$199,2*(ROWS(P$166:P176)-1)+1),3)),"")</f>
        <v/>
      </c>
      <c r="Q176" s="10" t="str">
        <f>IFERROR(IF(AI176&lt;&gt;"","",ROUND(INDEX('N04-S06'!$BC$18:$BC$199,2*(ROWS(Q$166:Q176)-1)+1),3)),"")</f>
        <v/>
      </c>
      <c r="R176" s="207"/>
      <c r="S176" s="25" t="str">
        <f>IFERROR(IF(AI176&lt;&gt;"","",INDEX('N04-S06'!$AK$18:$AK$199,2*(ROWS(S$166:S176)-1)+1)),"")</f>
        <v/>
      </c>
      <c r="T176" s="31" t="str">
        <f>IFERROR(IF(AI176&lt;&gt;"","",INDEX('N04-S06'!$BI$18:$BI$199,2*(ROWS(T$166:T176)-1)+1)),"")</f>
        <v/>
      </c>
      <c r="U176" s="31" t="str">
        <f>IFERROR(IF(AI176&lt;&gt;"","",INDEX('N04-S06'!$BH$18:$BH$199,2*(ROWS(U$166:U176)-1)+1)),"")</f>
        <v/>
      </c>
      <c r="V176" s="13" t="str">
        <f>IFERROR(IF(AI176&lt;&gt;"","",INDEX('N04-S06'!$AN$18:$AN$199,2*(ROWS(V$166:V176)-1)+1)),"")</f>
        <v/>
      </c>
      <c r="W176" s="207"/>
      <c r="X176" s="207"/>
      <c r="Y176" s="13">
        <f>IFERROR(IF(AI176&lt;&gt;"",INDEX('N04-S06'!$AE$18:$AE$199,2*(ROWS(Y$166:Y176)-1)+1),""),"")</f>
        <v>0</v>
      </c>
      <c r="AA176" s="13">
        <f>IFERROR(IF($AI176&lt;&gt;"",INDEX('N04-S06'!$AH$18:$AH$199,2*(ROWS(AA$166:AA176)-1)+1),""),"")</f>
        <v>0</v>
      </c>
      <c r="AB176" s="13">
        <f>IFERROR(IF($AI176&lt;&gt;"",INDEX('N04-S06'!$AB$18:$AB$199,2*(ROWS(AB$166:AB176)-1)+1),""),"")</f>
        <v>0</v>
      </c>
      <c r="AC176" s="10">
        <f>IFERROR(IF(AI176&lt;&gt;"",ROUND(INDEX('N04-S06'!$BB$18:$BB$199,2*(ROWS(AC$166:AC176)-1)+1),3),""),"")</f>
        <v>0</v>
      </c>
      <c r="AD176" s="10">
        <f>IFERROR(IF(AI176&lt;&gt;"",ROUND(INDEX('N04-S06'!$BC$18:$BC$199,2*(ROWS(AD$166:AD176)-1)+1),3),""),"")</f>
        <v>0</v>
      </c>
      <c r="AE176" s="207"/>
      <c r="AF176" s="25">
        <f>IFERROR(IF(AI176&lt;&gt;"",INDEX('N04-S06'!$AK$18:$AK$199,2*(ROWS(AF$166:AF176)-1)+1),""),"")</f>
        <v>0</v>
      </c>
      <c r="AG176" s="31">
        <f>IFERROR(IF(AI176&lt;&gt;"",INDEX('N04-S06'!$BI$18:$BI$199,2*(ROWS(AG$166:AG176)-1)+1),""),"")</f>
        <v>0</v>
      </c>
      <c r="AH176" s="31">
        <f>IFERROR(IF(AI176&lt;&gt;"",INDEX('N04-S06'!$BH$18:$BH$199,2*(ROWS(AH$166:AH176)-1)+1),""),"")</f>
        <v>0</v>
      </c>
      <c r="AI176">
        <f>IFERROR(INDEX('N04-S06'!$BQ$18:$BQ$199,2*(ROWS(AI$166:AI176)-1)+1),"")</f>
        <v>0</v>
      </c>
      <c r="AJ176" s="25">
        <f>IFERROR(INDEX('N04-S06'!$BD$18:$BD$199,2*(ROWS(AJ$166:AJ176)-1)+1),"")</f>
        <v>0</v>
      </c>
      <c r="AK176" s="25">
        <f>IFERROR(INDEX('N04-S06'!$BE$18:$BE$199,2*(ROWS(AK$166:AK176)-1)+1),"")</f>
        <v>0</v>
      </c>
      <c r="AL176" s="207"/>
      <c r="AM176" s="207"/>
      <c r="AN176" s="207"/>
      <c r="AO176">
        <f>IFERROR(INDEX('N04-S06'!$B$18:$B$199,2*(ROWS(AO$166:AO176)-1)+1),"")</f>
        <v>0</v>
      </c>
      <c r="AP176" s="189"/>
      <c r="AQ176">
        <f>IFERROR(INDEX('N04-S06'!$C$18:$C$199,2*(ROWS(AQ$166:AQ176)-1)+1),"")</f>
        <v>0</v>
      </c>
      <c r="AR176">
        <f>IFERROR(INDEX('N04-S06'!$L$18:$L$199,2*(ROWS(AR$166:AR176)-1)+1),"")</f>
        <v>0</v>
      </c>
      <c r="AS176">
        <f>IFERROR(INDEX('N04-S06'!$T$18:$T$199,2*(ROWS(AS$166:AS176)-1)+1),"")</f>
        <v>0</v>
      </c>
      <c r="AT176" s="13">
        <f>IFERROR(INDEX('N04-S06'!$AY$18:$AY$199,2*(ROWS(AT$166:AT176)-1)+1),"")</f>
        <v>0</v>
      </c>
      <c r="AU176" s="13">
        <f>IFERROR(INDEX('N04-S06'!$AZ$18:$AZ$199,2*(ROWS(AU$166:AU176)-1)+1),"")</f>
        <v>0</v>
      </c>
      <c r="AV176">
        <f>IFERROR(INDEX('N04-S06'!$BA$18:$BA$199,2*(ROWS(AV$166:AV176)-1)+1),"")</f>
        <v>0</v>
      </c>
      <c r="AW176">
        <f>IFERROR(INDEX('N04-S06'!$BF$18:$BF$199,2*(ROWS(AW$166:AW176)-1)+1),"")</f>
        <v>0</v>
      </c>
      <c r="AX176" t="s">
        <v>820</v>
      </c>
      <c r="AY176" s="170"/>
      <c r="AZ176" s="170"/>
      <c r="BA176" s="170"/>
      <c r="BB176" s="170"/>
      <c r="BC176" s="170"/>
      <c r="BD176" s="170"/>
      <c r="BE176" s="170"/>
      <c r="BF176" s="170"/>
      <c r="BG176" s="170"/>
      <c r="BH176" s="170"/>
      <c r="BI176" s="170"/>
      <c r="BJ176" s="170"/>
      <c r="BK176" s="170"/>
    </row>
    <row r="177" spans="1:63">
      <c r="A177" s="14">
        <f t="shared" si="22"/>
        <v>0</v>
      </c>
      <c r="B177" t="str">
        <f t="shared" si="23"/>
        <v/>
      </c>
      <c r="C177" t="str">
        <f>IFERROR(IF(INDEX('N04-S06'!$BO$18:$BO$199,2*(ROWS($C$166:C177)-1)+1)="","",INDEX('N04-S06'!$BO$18:$BO$199,2*(ROWS($C$166:C177)-1)+1)),"")</f>
        <v/>
      </c>
      <c r="D177" t="s">
        <v>50</v>
      </c>
      <c r="E177" t="s">
        <v>38</v>
      </c>
      <c r="F177" t="s">
        <v>50</v>
      </c>
      <c r="G177">
        <f>IFERROR(INDEX('N04-S06'!$BG$18:$BG$199,2*(ROWS(G$166:G177)-1)+1),"")</f>
        <v>0</v>
      </c>
      <c r="H177" s="207"/>
      <c r="I177" s="189"/>
      <c r="J177" s="189"/>
      <c r="K177" s="189"/>
      <c r="L177" s="13" t="str">
        <f>IFERROR(ROUND(IF($AI177&lt;&gt;"","",INDEX('N04-S06'!$AE$18:$AE$199,2*(ROWS(L$166:L177)-1)+1)),2),"")</f>
        <v/>
      </c>
      <c r="N177" s="13" t="str">
        <f>IFERROR(ROUND(IF($AI177&lt;&gt;"","",INDEX('N04-S06'!$AH$18:$AH$199,2*(ROWS(N$166:N177)-1)+1)),2),"")</f>
        <v/>
      </c>
      <c r="O177" s="13" t="str">
        <f>IFERROR(ROUND(IF($AI177&lt;&gt;"","",INDEX('N04-S06'!$AB$18:$AB$199,2*(ROWS(O$166:O177)-1)+1)),2),"")</f>
        <v/>
      </c>
      <c r="P177" s="10" t="str">
        <f>IFERROR(IF(AI177&lt;&gt;"","",ROUND(INDEX('N04-S06'!$BB$18:$BB$199,2*(ROWS(P$166:P177)-1)+1),3)),"")</f>
        <v/>
      </c>
      <c r="Q177" s="10" t="str">
        <f>IFERROR(IF(AI177&lt;&gt;"","",ROUND(INDEX('N04-S06'!$BC$18:$BC$199,2*(ROWS(Q$166:Q177)-1)+1),3)),"")</f>
        <v/>
      </c>
      <c r="R177" s="207"/>
      <c r="S177" s="25" t="str">
        <f>IFERROR(IF(AI177&lt;&gt;"","",INDEX('N04-S06'!$AK$18:$AK$199,2*(ROWS(S$166:S177)-1)+1)),"")</f>
        <v/>
      </c>
      <c r="T177" s="31" t="str">
        <f>IFERROR(IF(AI177&lt;&gt;"","",INDEX('N04-S06'!$BI$18:$BI$199,2*(ROWS(T$166:T177)-1)+1)),"")</f>
        <v/>
      </c>
      <c r="U177" s="31" t="str">
        <f>IFERROR(IF(AI177&lt;&gt;"","",INDEX('N04-S06'!$BH$18:$BH$199,2*(ROWS(U$166:U177)-1)+1)),"")</f>
        <v/>
      </c>
      <c r="V177" s="13" t="str">
        <f>IFERROR(IF(AI177&lt;&gt;"","",INDEX('N04-S06'!$AN$18:$AN$199,2*(ROWS(V$166:V177)-1)+1)),"")</f>
        <v/>
      </c>
      <c r="W177" s="207"/>
      <c r="X177" s="207"/>
      <c r="Y177" s="13">
        <f>IFERROR(IF(AI177&lt;&gt;"",INDEX('N04-S06'!$AE$18:$AE$199,2*(ROWS(Y$166:Y177)-1)+1),""),"")</f>
        <v>0</v>
      </c>
      <c r="AA177" s="13">
        <f>IFERROR(IF($AI177&lt;&gt;"",INDEX('N04-S06'!$AH$18:$AH$199,2*(ROWS(AA$166:AA177)-1)+1),""),"")</f>
        <v>0</v>
      </c>
      <c r="AB177" s="13">
        <f>IFERROR(IF($AI177&lt;&gt;"",INDEX('N04-S06'!$AB$18:$AB$199,2*(ROWS(AB$166:AB177)-1)+1),""),"")</f>
        <v>0</v>
      </c>
      <c r="AC177" s="10">
        <f>IFERROR(IF(AI177&lt;&gt;"",ROUND(INDEX('N04-S06'!$BB$18:$BB$199,2*(ROWS(AC$166:AC177)-1)+1),3),""),"")</f>
        <v>0</v>
      </c>
      <c r="AD177" s="10">
        <f>IFERROR(IF(AI177&lt;&gt;"",ROUND(INDEX('N04-S06'!$BC$18:$BC$199,2*(ROWS(AD$166:AD177)-1)+1),3),""),"")</f>
        <v>0</v>
      </c>
      <c r="AE177" s="207"/>
      <c r="AF177" s="25">
        <f>IFERROR(IF(AI177&lt;&gt;"",INDEX('N04-S06'!$AK$18:$AK$199,2*(ROWS(AF$166:AF177)-1)+1),""),"")</f>
        <v>0</v>
      </c>
      <c r="AG177" s="31">
        <f>IFERROR(IF(AI177&lt;&gt;"",INDEX('N04-S06'!$BI$18:$BI$199,2*(ROWS(AG$166:AG177)-1)+1),""),"")</f>
        <v>0</v>
      </c>
      <c r="AH177" s="31">
        <f>IFERROR(IF(AI177&lt;&gt;"",INDEX('N04-S06'!$BH$18:$BH$199,2*(ROWS(AH$166:AH177)-1)+1),""),"")</f>
        <v>0</v>
      </c>
      <c r="AI177">
        <f>IFERROR(INDEX('N04-S06'!$BQ$18:$BQ$199,2*(ROWS(AI$166:AI177)-1)+1),"")</f>
        <v>0</v>
      </c>
      <c r="AJ177" s="25">
        <f>IFERROR(INDEX('N04-S06'!$BD$18:$BD$199,2*(ROWS(AJ$166:AJ177)-1)+1),"")</f>
        <v>0</v>
      </c>
      <c r="AK177" s="25">
        <f>IFERROR(INDEX('N04-S06'!$BE$18:$BE$199,2*(ROWS(AK$166:AK177)-1)+1),"")</f>
        <v>0</v>
      </c>
      <c r="AL177" s="207"/>
      <c r="AM177" s="207"/>
      <c r="AN177" s="207"/>
      <c r="AO177">
        <f>IFERROR(INDEX('N04-S06'!$B$18:$B$199,2*(ROWS(AO$166:AO177)-1)+1),"")</f>
        <v>0</v>
      </c>
      <c r="AP177" s="189"/>
      <c r="AQ177">
        <f>IFERROR(INDEX('N04-S06'!$C$18:$C$199,2*(ROWS(AQ$166:AQ177)-1)+1),"")</f>
        <v>0</v>
      </c>
      <c r="AR177">
        <f>IFERROR(INDEX('N04-S06'!$L$18:$L$199,2*(ROWS(AR$166:AR177)-1)+1),"")</f>
        <v>0</v>
      </c>
      <c r="AS177">
        <f>IFERROR(INDEX('N04-S06'!$T$18:$T$199,2*(ROWS(AS$166:AS177)-1)+1),"")</f>
        <v>0</v>
      </c>
      <c r="AT177" s="13">
        <f>IFERROR(INDEX('N04-S06'!$AY$18:$AY$199,2*(ROWS(AT$166:AT177)-1)+1),"")</f>
        <v>0</v>
      </c>
      <c r="AU177" s="13">
        <f>IFERROR(INDEX('N04-S06'!$AZ$18:$AZ$199,2*(ROWS(AU$166:AU177)-1)+1),"")</f>
        <v>0</v>
      </c>
      <c r="AV177">
        <f>IFERROR(INDEX('N04-S06'!$BA$18:$BA$199,2*(ROWS(AV$166:AV177)-1)+1),"")</f>
        <v>0</v>
      </c>
      <c r="AW177">
        <f>IFERROR(INDEX('N04-S06'!$BF$18:$BF$199,2*(ROWS(AW$166:AW177)-1)+1),"")</f>
        <v>0</v>
      </c>
      <c r="AX177" t="s">
        <v>820</v>
      </c>
      <c r="AY177" s="170"/>
      <c r="AZ177" s="170"/>
      <c r="BA177" s="170"/>
      <c r="BB177" s="170"/>
      <c r="BC177" s="170"/>
      <c r="BD177" s="170"/>
      <c r="BE177" s="170"/>
      <c r="BF177" s="170"/>
      <c r="BG177" s="170"/>
      <c r="BH177" s="170"/>
      <c r="BI177" s="170"/>
      <c r="BJ177" s="170"/>
      <c r="BK177" s="170"/>
    </row>
    <row r="178" spans="1:63">
      <c r="A178" s="14">
        <f t="shared" si="22"/>
        <v>0</v>
      </c>
      <c r="B178" t="str">
        <f t="shared" si="23"/>
        <v/>
      </c>
      <c r="C178" t="str">
        <f>IFERROR(IF(INDEX('N04-S06'!$BO$18:$BO$199,2*(ROWS($C$166:C178)-1)+1)="","",INDEX('N04-S06'!$BO$18:$BO$199,2*(ROWS($C$166:C178)-1)+1)),"")</f>
        <v/>
      </c>
      <c r="D178" t="s">
        <v>50</v>
      </c>
      <c r="E178" t="s">
        <v>38</v>
      </c>
      <c r="F178" t="s">
        <v>50</v>
      </c>
      <c r="G178">
        <f>IFERROR(INDEX('N04-S06'!$BG$18:$BG$199,2*(ROWS(G$166:G178)-1)+1),"")</f>
        <v>0</v>
      </c>
      <c r="H178" s="207"/>
      <c r="I178" s="189"/>
      <c r="J178" s="189"/>
      <c r="K178" s="189"/>
      <c r="L178" s="13" t="str">
        <f>IFERROR(ROUND(IF($AI178&lt;&gt;"","",INDEX('N04-S06'!$AE$18:$AE$199,2*(ROWS(L$166:L178)-1)+1)),2),"")</f>
        <v/>
      </c>
      <c r="N178" s="13" t="str">
        <f>IFERROR(ROUND(IF($AI178&lt;&gt;"","",INDEX('N04-S06'!$AH$18:$AH$199,2*(ROWS(N$166:N178)-1)+1)),2),"")</f>
        <v/>
      </c>
      <c r="O178" s="13" t="str">
        <f>IFERROR(ROUND(IF($AI178&lt;&gt;"","",INDEX('N04-S06'!$AB$18:$AB$199,2*(ROWS(O$166:O178)-1)+1)),2),"")</f>
        <v/>
      </c>
      <c r="P178" s="10" t="str">
        <f>IFERROR(IF(AI178&lt;&gt;"","",ROUND(INDEX('N04-S06'!$BB$18:$BB$199,2*(ROWS(P$166:P178)-1)+1),3)),"")</f>
        <v/>
      </c>
      <c r="Q178" s="10" t="str">
        <f>IFERROR(IF(AI178&lt;&gt;"","",ROUND(INDEX('N04-S06'!$BC$18:$BC$199,2*(ROWS(Q$166:Q178)-1)+1),3)),"")</f>
        <v/>
      </c>
      <c r="R178" s="207"/>
      <c r="S178" s="25" t="str">
        <f>IFERROR(IF(AI178&lt;&gt;"","",INDEX('N04-S06'!$AK$18:$AK$199,2*(ROWS(S$166:S178)-1)+1)),"")</f>
        <v/>
      </c>
      <c r="T178" s="31" t="str">
        <f>IFERROR(IF(AI178&lt;&gt;"","",INDEX('N04-S06'!$BI$18:$BI$199,2*(ROWS(T$166:T178)-1)+1)),"")</f>
        <v/>
      </c>
      <c r="U178" s="31" t="str">
        <f>IFERROR(IF(AI178&lt;&gt;"","",INDEX('N04-S06'!$BH$18:$BH$199,2*(ROWS(U$166:U178)-1)+1)),"")</f>
        <v/>
      </c>
      <c r="V178" s="13" t="str">
        <f>IFERROR(IF(AI178&lt;&gt;"","",INDEX('N04-S06'!$AN$18:$AN$199,2*(ROWS(V$166:V178)-1)+1)),"")</f>
        <v/>
      </c>
      <c r="W178" s="207"/>
      <c r="X178" s="207"/>
      <c r="Y178" s="13">
        <f>IFERROR(IF(AI178&lt;&gt;"",INDEX('N04-S06'!$AE$18:$AE$199,2*(ROWS(Y$166:Y178)-1)+1),""),"")</f>
        <v>0</v>
      </c>
      <c r="AA178" s="13">
        <f>IFERROR(IF($AI178&lt;&gt;"",INDEX('N04-S06'!$AH$18:$AH$199,2*(ROWS(AA$166:AA178)-1)+1),""),"")</f>
        <v>0</v>
      </c>
      <c r="AB178" s="13">
        <f>IFERROR(IF($AI178&lt;&gt;"",INDEX('N04-S06'!$AB$18:$AB$199,2*(ROWS(AB$166:AB178)-1)+1),""),"")</f>
        <v>0</v>
      </c>
      <c r="AC178" s="10">
        <f>IFERROR(IF(AI178&lt;&gt;"",ROUND(INDEX('N04-S06'!$BB$18:$BB$199,2*(ROWS(AC$166:AC178)-1)+1),3),""),"")</f>
        <v>0</v>
      </c>
      <c r="AD178" s="10">
        <f>IFERROR(IF(AI178&lt;&gt;"",ROUND(INDEX('N04-S06'!$BC$18:$BC$199,2*(ROWS(AD$166:AD178)-1)+1),3),""),"")</f>
        <v>0</v>
      </c>
      <c r="AE178" s="207"/>
      <c r="AF178" s="25">
        <f>IFERROR(IF(AI178&lt;&gt;"",INDEX('N04-S06'!$AK$18:$AK$199,2*(ROWS(AF$166:AF178)-1)+1),""),"")</f>
        <v>0</v>
      </c>
      <c r="AG178" s="31">
        <f>IFERROR(IF(AI178&lt;&gt;"",INDEX('N04-S06'!$BI$18:$BI$199,2*(ROWS(AG$166:AG178)-1)+1),""),"")</f>
        <v>0</v>
      </c>
      <c r="AH178" s="31">
        <f>IFERROR(IF(AI178&lt;&gt;"",INDEX('N04-S06'!$BH$18:$BH$199,2*(ROWS(AH$166:AH178)-1)+1),""),"")</f>
        <v>0</v>
      </c>
      <c r="AI178">
        <f>IFERROR(INDEX('N04-S06'!$BQ$18:$BQ$199,2*(ROWS(AI$166:AI178)-1)+1),"")</f>
        <v>0</v>
      </c>
      <c r="AJ178" s="25">
        <f>IFERROR(INDEX('N04-S06'!$BD$18:$BD$199,2*(ROWS(AJ$166:AJ178)-1)+1),"")</f>
        <v>0</v>
      </c>
      <c r="AK178" s="25">
        <f>IFERROR(INDEX('N04-S06'!$BE$18:$BE$199,2*(ROWS(AK$166:AK178)-1)+1),"")</f>
        <v>0</v>
      </c>
      <c r="AL178" s="207"/>
      <c r="AM178" s="207"/>
      <c r="AN178" s="207"/>
      <c r="AO178">
        <f>IFERROR(INDEX('N04-S06'!$B$18:$B$199,2*(ROWS(AO$166:AO178)-1)+1),"")</f>
        <v>0</v>
      </c>
      <c r="AP178" s="189"/>
      <c r="AQ178">
        <f>IFERROR(INDEX('N04-S06'!$C$18:$C$199,2*(ROWS(AQ$166:AQ178)-1)+1),"")</f>
        <v>0</v>
      </c>
      <c r="AR178">
        <f>IFERROR(INDEX('N04-S06'!$L$18:$L$199,2*(ROWS(AR$166:AR178)-1)+1),"")</f>
        <v>0</v>
      </c>
      <c r="AS178">
        <f>IFERROR(INDEX('N04-S06'!$T$18:$T$199,2*(ROWS(AS$166:AS178)-1)+1),"")</f>
        <v>0</v>
      </c>
      <c r="AT178" s="13">
        <f>IFERROR(INDEX('N04-S06'!$AY$18:$AY$199,2*(ROWS(AT$166:AT178)-1)+1),"")</f>
        <v>0</v>
      </c>
      <c r="AU178" s="13">
        <f>IFERROR(INDEX('N04-S06'!$AZ$18:$AZ$199,2*(ROWS(AU$166:AU178)-1)+1),"")</f>
        <v>0</v>
      </c>
      <c r="AV178">
        <f>IFERROR(INDEX('N04-S06'!$BA$18:$BA$199,2*(ROWS(AV$166:AV178)-1)+1),"")</f>
        <v>0</v>
      </c>
      <c r="AW178">
        <f>IFERROR(INDEX('N04-S06'!$BF$18:$BF$199,2*(ROWS(AW$166:AW178)-1)+1),"")</f>
        <v>0</v>
      </c>
      <c r="AX178" t="s">
        <v>820</v>
      </c>
      <c r="AY178" s="170"/>
      <c r="AZ178" s="170"/>
      <c r="BA178" s="170"/>
      <c r="BB178" s="170"/>
      <c r="BC178" s="170"/>
      <c r="BD178" s="170"/>
      <c r="BE178" s="170"/>
      <c r="BF178" s="170"/>
      <c r="BG178" s="170"/>
      <c r="BH178" s="170"/>
      <c r="BI178" s="170"/>
      <c r="BJ178" s="170"/>
      <c r="BK178" s="170"/>
    </row>
    <row r="179" spans="1:63">
      <c r="A179" s="14">
        <f t="shared" si="22"/>
        <v>0</v>
      </c>
      <c r="B179" t="str">
        <f t="shared" si="23"/>
        <v/>
      </c>
      <c r="C179" t="str">
        <f>IFERROR(IF(INDEX('N04-S06'!$BO$18:$BO$199,2*(ROWS($C$166:C179)-1)+1)="","",INDEX('N04-S06'!$BO$18:$BO$199,2*(ROWS($C$166:C179)-1)+1)),"")</f>
        <v/>
      </c>
      <c r="D179" t="s">
        <v>50</v>
      </c>
      <c r="E179" t="s">
        <v>38</v>
      </c>
      <c r="F179" t="s">
        <v>50</v>
      </c>
      <c r="G179">
        <f>IFERROR(INDEX('N04-S06'!$BG$18:$BG$199,2*(ROWS(G$166:G179)-1)+1),"")</f>
        <v>0</v>
      </c>
      <c r="H179" s="207"/>
      <c r="I179" s="189"/>
      <c r="J179" s="189"/>
      <c r="K179" s="189"/>
      <c r="L179" s="13" t="str">
        <f>IFERROR(ROUND(IF($AI179&lt;&gt;"","",INDEX('N04-S06'!$AE$18:$AE$199,2*(ROWS(L$166:L179)-1)+1)),2),"")</f>
        <v/>
      </c>
      <c r="N179" s="13" t="str">
        <f>IFERROR(ROUND(IF($AI179&lt;&gt;"","",INDEX('N04-S06'!$AH$18:$AH$199,2*(ROWS(N$166:N179)-1)+1)),2),"")</f>
        <v/>
      </c>
      <c r="O179" s="13" t="str">
        <f>IFERROR(ROUND(IF($AI179&lt;&gt;"","",INDEX('N04-S06'!$AB$18:$AB$199,2*(ROWS(O$166:O179)-1)+1)),2),"")</f>
        <v/>
      </c>
      <c r="P179" s="10" t="str">
        <f>IFERROR(IF(AI179&lt;&gt;"","",ROUND(INDEX('N04-S06'!$BB$18:$BB$199,2*(ROWS(P$166:P179)-1)+1),3)),"")</f>
        <v/>
      </c>
      <c r="Q179" s="10" t="str">
        <f>IFERROR(IF(AI179&lt;&gt;"","",ROUND(INDEX('N04-S06'!$BC$18:$BC$199,2*(ROWS(Q$166:Q179)-1)+1),3)),"")</f>
        <v/>
      </c>
      <c r="R179" s="207"/>
      <c r="S179" s="25" t="str">
        <f>IFERROR(IF(AI179&lt;&gt;"","",INDEX('N04-S06'!$AK$18:$AK$199,2*(ROWS(S$166:S179)-1)+1)),"")</f>
        <v/>
      </c>
      <c r="T179" s="31" t="str">
        <f>IFERROR(IF(AI179&lt;&gt;"","",INDEX('N04-S06'!$BI$18:$BI$199,2*(ROWS(T$166:T179)-1)+1)),"")</f>
        <v/>
      </c>
      <c r="U179" s="31" t="str">
        <f>IFERROR(IF(AI179&lt;&gt;"","",INDEX('N04-S06'!$BH$18:$BH$199,2*(ROWS(U$166:U179)-1)+1)),"")</f>
        <v/>
      </c>
      <c r="V179" s="13" t="str">
        <f>IFERROR(IF(AI179&lt;&gt;"","",INDEX('N04-S06'!$AN$18:$AN$199,2*(ROWS(V$166:V179)-1)+1)),"")</f>
        <v/>
      </c>
      <c r="W179" s="207"/>
      <c r="X179" s="207"/>
      <c r="Y179" s="13">
        <f>IFERROR(IF(AI179&lt;&gt;"",INDEX('N04-S06'!$AE$18:$AE$199,2*(ROWS(Y$166:Y179)-1)+1),""),"")</f>
        <v>0</v>
      </c>
      <c r="AA179" s="13">
        <f>IFERROR(IF($AI179&lt;&gt;"",INDEX('N04-S06'!$AH$18:$AH$199,2*(ROWS(AA$166:AA179)-1)+1),""),"")</f>
        <v>0</v>
      </c>
      <c r="AB179" s="13">
        <f>IFERROR(IF($AI179&lt;&gt;"",INDEX('N04-S06'!$AB$18:$AB$199,2*(ROWS(AB$166:AB179)-1)+1),""),"")</f>
        <v>0</v>
      </c>
      <c r="AC179" s="10">
        <f>IFERROR(IF(AI179&lt;&gt;"",ROUND(INDEX('N04-S06'!$BB$18:$BB$199,2*(ROWS(AC$166:AC179)-1)+1),3),""),"")</f>
        <v>0</v>
      </c>
      <c r="AD179" s="10">
        <f>IFERROR(IF(AI179&lt;&gt;"",ROUND(INDEX('N04-S06'!$BC$18:$BC$199,2*(ROWS(AD$166:AD179)-1)+1),3),""),"")</f>
        <v>0</v>
      </c>
      <c r="AE179" s="207"/>
      <c r="AF179" s="25">
        <f>IFERROR(IF(AI179&lt;&gt;"",INDEX('N04-S06'!$AK$18:$AK$199,2*(ROWS(AF$166:AF179)-1)+1),""),"")</f>
        <v>0</v>
      </c>
      <c r="AG179" s="31">
        <f>IFERROR(IF(AI179&lt;&gt;"",INDEX('N04-S06'!$BI$18:$BI$199,2*(ROWS(AG$166:AG179)-1)+1),""),"")</f>
        <v>0</v>
      </c>
      <c r="AH179" s="31">
        <f>IFERROR(IF(AI179&lt;&gt;"",INDEX('N04-S06'!$BH$18:$BH$199,2*(ROWS(AH$166:AH179)-1)+1),""),"")</f>
        <v>0</v>
      </c>
      <c r="AI179">
        <f>IFERROR(INDEX('N04-S06'!$BQ$18:$BQ$199,2*(ROWS(AI$166:AI179)-1)+1),"")</f>
        <v>0</v>
      </c>
      <c r="AJ179" s="25">
        <f>IFERROR(INDEX('N04-S06'!$BD$18:$BD$199,2*(ROWS(AJ$166:AJ179)-1)+1),"")</f>
        <v>0</v>
      </c>
      <c r="AK179" s="25">
        <f>IFERROR(INDEX('N04-S06'!$BE$18:$BE$199,2*(ROWS(AK$166:AK179)-1)+1),"")</f>
        <v>0</v>
      </c>
      <c r="AL179" s="207"/>
      <c r="AM179" s="207"/>
      <c r="AN179" s="207"/>
      <c r="AO179">
        <f>IFERROR(INDEX('N04-S06'!$B$18:$B$199,2*(ROWS(AO$166:AO179)-1)+1),"")</f>
        <v>0</v>
      </c>
      <c r="AP179" s="189"/>
      <c r="AQ179">
        <f>IFERROR(INDEX('N04-S06'!$C$18:$C$199,2*(ROWS(AQ$166:AQ179)-1)+1),"")</f>
        <v>0</v>
      </c>
      <c r="AR179">
        <f>IFERROR(INDEX('N04-S06'!$L$18:$L$199,2*(ROWS(AR$166:AR179)-1)+1),"")</f>
        <v>0</v>
      </c>
      <c r="AS179">
        <f>IFERROR(INDEX('N04-S06'!$T$18:$T$199,2*(ROWS(AS$166:AS179)-1)+1),"")</f>
        <v>0</v>
      </c>
      <c r="AT179" s="13">
        <f>IFERROR(INDEX('N04-S06'!$AY$18:$AY$199,2*(ROWS(AT$166:AT179)-1)+1),"")</f>
        <v>0</v>
      </c>
      <c r="AU179" s="13">
        <f>IFERROR(INDEX('N04-S06'!$AZ$18:$AZ$199,2*(ROWS(AU$166:AU179)-1)+1),"")</f>
        <v>0</v>
      </c>
      <c r="AV179">
        <f>IFERROR(INDEX('N04-S06'!$BA$18:$BA$199,2*(ROWS(AV$166:AV179)-1)+1),"")</f>
        <v>0</v>
      </c>
      <c r="AW179">
        <f>IFERROR(INDEX('N04-S06'!$BF$18:$BF$199,2*(ROWS(AW$166:AW179)-1)+1),"")</f>
        <v>0</v>
      </c>
      <c r="AX179" t="s">
        <v>820</v>
      </c>
      <c r="AY179" s="170"/>
      <c r="AZ179" s="170"/>
      <c r="BA179" s="170"/>
      <c r="BB179" s="170"/>
      <c r="BC179" s="170"/>
      <c r="BD179" s="170"/>
      <c r="BE179" s="170"/>
      <c r="BF179" s="170"/>
      <c r="BG179" s="170"/>
      <c r="BH179" s="170"/>
      <c r="BI179" s="170"/>
      <c r="BJ179" s="170"/>
      <c r="BK179" s="170"/>
    </row>
    <row r="180" spans="1:63">
      <c r="A180" s="14">
        <f t="shared" si="22"/>
        <v>0</v>
      </c>
      <c r="B180" t="str">
        <f t="shared" si="23"/>
        <v/>
      </c>
      <c r="C180" t="str">
        <f>IFERROR(IF(INDEX('N04-S06'!$BO$18:$BO$199,2*(ROWS($C$166:C180)-1)+1)="","",INDEX('N04-S06'!$BO$18:$BO$199,2*(ROWS($C$166:C180)-1)+1)),"")</f>
        <v/>
      </c>
      <c r="D180" t="s">
        <v>50</v>
      </c>
      <c r="E180" t="s">
        <v>38</v>
      </c>
      <c r="F180" t="s">
        <v>50</v>
      </c>
      <c r="G180">
        <f>IFERROR(INDEX('N04-S06'!$BG$18:$BG$199,2*(ROWS(G$166:G180)-1)+1),"")</f>
        <v>0</v>
      </c>
      <c r="H180" s="207"/>
      <c r="I180" s="189"/>
      <c r="J180" s="189"/>
      <c r="K180" s="189"/>
      <c r="L180" s="13" t="str">
        <f>IFERROR(ROUND(IF($AI180&lt;&gt;"","",INDEX('N04-S06'!$AE$18:$AE$199,2*(ROWS(L$166:L180)-1)+1)),2),"")</f>
        <v/>
      </c>
      <c r="N180" s="13" t="str">
        <f>IFERROR(ROUND(IF($AI180&lt;&gt;"","",INDEX('N04-S06'!$AH$18:$AH$199,2*(ROWS(N$166:N180)-1)+1)),2),"")</f>
        <v/>
      </c>
      <c r="O180" s="13" t="str">
        <f>IFERROR(ROUND(IF($AI180&lt;&gt;"","",INDEX('N04-S06'!$AB$18:$AB$199,2*(ROWS(O$166:O180)-1)+1)),2),"")</f>
        <v/>
      </c>
      <c r="P180" s="10" t="str">
        <f>IFERROR(IF(AI180&lt;&gt;"","",ROUND(INDEX('N04-S06'!$BB$18:$BB$199,2*(ROWS(P$166:P180)-1)+1),3)),"")</f>
        <v/>
      </c>
      <c r="Q180" s="10" t="str">
        <f>IFERROR(IF(AI180&lt;&gt;"","",ROUND(INDEX('N04-S06'!$BC$18:$BC$199,2*(ROWS(Q$166:Q180)-1)+1),3)),"")</f>
        <v/>
      </c>
      <c r="R180" s="207"/>
      <c r="S180" s="25" t="str">
        <f>IFERROR(IF(AI180&lt;&gt;"","",INDEX('N04-S06'!$AK$18:$AK$199,2*(ROWS(S$166:S180)-1)+1)),"")</f>
        <v/>
      </c>
      <c r="T180" s="31" t="str">
        <f>IFERROR(IF(AI180&lt;&gt;"","",INDEX('N04-S06'!$BI$18:$BI$199,2*(ROWS(T$166:T180)-1)+1)),"")</f>
        <v/>
      </c>
      <c r="U180" s="31" t="str">
        <f>IFERROR(IF(AI180&lt;&gt;"","",INDEX('N04-S06'!$BH$18:$BH$199,2*(ROWS(U$166:U180)-1)+1)),"")</f>
        <v/>
      </c>
      <c r="V180" s="13" t="str">
        <f>IFERROR(IF(AI180&lt;&gt;"","",INDEX('N04-S06'!$AN$18:$AN$199,2*(ROWS(V$166:V180)-1)+1)),"")</f>
        <v/>
      </c>
      <c r="W180" s="207"/>
      <c r="X180" s="207"/>
      <c r="Y180" s="13">
        <f>IFERROR(IF(AI180&lt;&gt;"",INDEX('N04-S06'!$AE$18:$AE$199,2*(ROWS(Y$166:Y180)-1)+1),""),"")</f>
        <v>0</v>
      </c>
      <c r="AA180" s="13">
        <f>IFERROR(IF($AI180&lt;&gt;"",INDEX('N04-S06'!$AH$18:$AH$199,2*(ROWS(AA$166:AA180)-1)+1),""),"")</f>
        <v>0</v>
      </c>
      <c r="AB180" s="13">
        <f>IFERROR(IF($AI180&lt;&gt;"",INDEX('N04-S06'!$AB$18:$AB$199,2*(ROWS(AB$166:AB180)-1)+1),""),"")</f>
        <v>0</v>
      </c>
      <c r="AC180" s="10">
        <f>IFERROR(IF(AI180&lt;&gt;"",ROUND(INDEX('N04-S06'!$BB$18:$BB$199,2*(ROWS(AC$166:AC180)-1)+1),3),""),"")</f>
        <v>0</v>
      </c>
      <c r="AD180" s="10">
        <f>IFERROR(IF(AI180&lt;&gt;"",ROUND(INDEX('N04-S06'!$BC$18:$BC$199,2*(ROWS(AD$166:AD180)-1)+1),3),""),"")</f>
        <v>0</v>
      </c>
      <c r="AE180" s="207"/>
      <c r="AF180" s="25">
        <f>IFERROR(IF(AI180&lt;&gt;"",INDEX('N04-S06'!$AK$18:$AK$199,2*(ROWS(AF$166:AF180)-1)+1),""),"")</f>
        <v>0</v>
      </c>
      <c r="AG180" s="31">
        <f>IFERROR(IF(AI180&lt;&gt;"",INDEX('N04-S06'!$BI$18:$BI$199,2*(ROWS(AG$166:AG180)-1)+1),""),"")</f>
        <v>0</v>
      </c>
      <c r="AH180" s="31">
        <f>IFERROR(IF(AI180&lt;&gt;"",INDEX('N04-S06'!$BH$18:$BH$199,2*(ROWS(AH$166:AH180)-1)+1),""),"")</f>
        <v>0</v>
      </c>
      <c r="AI180">
        <f>IFERROR(INDEX('N04-S06'!$BQ$18:$BQ$199,2*(ROWS(AI$166:AI180)-1)+1),"")</f>
        <v>0</v>
      </c>
      <c r="AJ180" s="25">
        <f>IFERROR(INDEX('N04-S06'!$BD$18:$BD$199,2*(ROWS(AJ$166:AJ180)-1)+1),"")</f>
        <v>0</v>
      </c>
      <c r="AK180" s="25">
        <f>IFERROR(INDEX('N04-S06'!$BE$18:$BE$199,2*(ROWS(AK$166:AK180)-1)+1),"")</f>
        <v>0</v>
      </c>
      <c r="AL180" s="207"/>
      <c r="AM180" s="207"/>
      <c r="AN180" s="207"/>
      <c r="AO180">
        <f>IFERROR(INDEX('N04-S06'!$B$18:$B$199,2*(ROWS(AO$166:AO180)-1)+1),"")</f>
        <v>0</v>
      </c>
      <c r="AP180" s="189"/>
      <c r="AQ180">
        <f>IFERROR(INDEX('N04-S06'!$C$18:$C$199,2*(ROWS(AQ$166:AQ180)-1)+1),"")</f>
        <v>0</v>
      </c>
      <c r="AR180">
        <f>IFERROR(INDEX('N04-S06'!$L$18:$L$199,2*(ROWS(AR$166:AR180)-1)+1),"")</f>
        <v>0</v>
      </c>
      <c r="AS180">
        <f>IFERROR(INDEX('N04-S06'!$T$18:$T$199,2*(ROWS(AS$166:AS180)-1)+1),"")</f>
        <v>0</v>
      </c>
      <c r="AT180" s="13">
        <f>IFERROR(INDEX('N04-S06'!$AY$18:$AY$199,2*(ROWS(AT$166:AT180)-1)+1),"")</f>
        <v>0</v>
      </c>
      <c r="AU180" s="13">
        <f>IFERROR(INDEX('N04-S06'!$AZ$18:$AZ$199,2*(ROWS(AU$166:AU180)-1)+1),"")</f>
        <v>0</v>
      </c>
      <c r="AV180">
        <f>IFERROR(INDEX('N04-S06'!$BA$18:$BA$199,2*(ROWS(AV$166:AV180)-1)+1),"")</f>
        <v>0</v>
      </c>
      <c r="AW180">
        <f>IFERROR(INDEX('N04-S06'!$BF$18:$BF$199,2*(ROWS(AW$166:AW180)-1)+1),"")</f>
        <v>0</v>
      </c>
      <c r="AX180" t="s">
        <v>820</v>
      </c>
      <c r="AY180" s="170"/>
      <c r="AZ180" s="170"/>
      <c r="BA180" s="170"/>
      <c r="BB180" s="170"/>
      <c r="BC180" s="170"/>
      <c r="BD180" s="170"/>
      <c r="BE180" s="170"/>
      <c r="BF180" s="170"/>
      <c r="BG180" s="170"/>
      <c r="BH180" s="170"/>
      <c r="BI180" s="170"/>
      <c r="BJ180" s="170"/>
      <c r="BK180" s="170"/>
    </row>
    <row r="181" spans="1:63">
      <c r="A181" s="390" t="s">
        <v>1478</v>
      </c>
      <c r="B181" s="58"/>
      <c r="C181" s="58"/>
      <c r="D181" s="58"/>
      <c r="E181" s="58"/>
      <c r="F181" s="58"/>
      <c r="G181" s="58"/>
      <c r="H181" s="385"/>
      <c r="I181" s="58"/>
      <c r="J181" s="386"/>
      <c r="K181" s="386"/>
      <c r="L181" s="386"/>
      <c r="M181" s="58"/>
      <c r="N181" s="58"/>
      <c r="O181" s="58"/>
      <c r="P181" s="387"/>
      <c r="Q181" s="387"/>
      <c r="R181" s="385"/>
      <c r="S181" s="385"/>
      <c r="T181" s="388"/>
      <c r="U181" s="388"/>
      <c r="V181" s="386"/>
      <c r="W181" s="386"/>
      <c r="X181" s="386"/>
      <c r="Y181" s="386"/>
      <c r="Z181" s="58"/>
      <c r="AA181" s="58"/>
      <c r="AB181" s="58"/>
      <c r="AC181" s="387"/>
      <c r="AD181" s="387"/>
      <c r="AE181" s="385"/>
      <c r="AF181" s="385"/>
      <c r="AG181" s="388"/>
      <c r="AH181" s="388"/>
      <c r="AI181" s="58"/>
      <c r="AJ181" s="385"/>
      <c r="AK181" s="385"/>
      <c r="AL181" s="385"/>
      <c r="AM181" s="385"/>
      <c r="AN181" s="385"/>
      <c r="AO181" s="58"/>
      <c r="AP181" s="58"/>
      <c r="AQ181" s="389"/>
      <c r="AR181" s="58"/>
      <c r="AS181" s="58"/>
      <c r="AT181" s="386"/>
      <c r="AU181" s="386"/>
      <c r="AV181" s="58"/>
      <c r="AW181" s="58"/>
      <c r="AX181" s="58"/>
      <c r="AY181" s="170"/>
      <c r="AZ181" s="170"/>
      <c r="BA181" s="170"/>
      <c r="BB181" s="170"/>
      <c r="BC181" s="170"/>
      <c r="BD181" s="170"/>
      <c r="BE181" s="170"/>
      <c r="BF181" s="170"/>
      <c r="BG181" s="170"/>
      <c r="BH181" s="170"/>
      <c r="BI181" s="170"/>
      <c r="BJ181" s="170"/>
      <c r="BK181" s="170"/>
    </row>
    <row r="182" spans="1:63">
      <c r="A182" s="14">
        <f>PROJID_N</f>
        <v>0</v>
      </c>
      <c r="B182" t="str">
        <f t="shared" si="23"/>
        <v/>
      </c>
      <c r="C182" t="str">
        <f>IFERROR(IF(INDEX('N04-S09'!$BB$18:$BB$199,2*(ROWS($C$182:C182)-1)+1)="","",INDEX('N04-S09'!$BB$18:$BB$199,2*(ROWS($C$182:C182)-1)+1)),"")</f>
        <v/>
      </c>
      <c r="D182" t="s">
        <v>50</v>
      </c>
      <c r="E182" t="s">
        <v>38</v>
      </c>
      <c r="F182" t="s">
        <v>1478</v>
      </c>
      <c r="G182" s="207"/>
      <c r="H182" s="207"/>
      <c r="I182" s="207"/>
      <c r="J182" s="207"/>
      <c r="K182" s="207"/>
      <c r="L182" s="13">
        <f>IFERROR(ROUND(INDEX('N04-S09'!$Y$18:$Y$199,2*(ROWS(L$182:L182)-1)+1),2),"")</f>
        <v>0</v>
      </c>
      <c r="M182" t="s">
        <v>21</v>
      </c>
      <c r="N182" s="207"/>
      <c r="O182" s="207"/>
      <c r="P182" t="str">
        <f>IF(C182="","",1)</f>
        <v/>
      </c>
      <c r="Q182" t="str">
        <f>IF(C182="","",1)</f>
        <v/>
      </c>
      <c r="R182" s="207"/>
      <c r="S182" s="25" t="str">
        <f>IFERROR(INDEX('N04-S09'!$AY$18:$AY$199,2*(ROWS(S$182:S182)-1)+1),"")</f>
        <v/>
      </c>
      <c r="T182" s="207"/>
      <c r="U182" s="31" t="str">
        <f>IFERROR(INDEX('N04-S09'!$AZ$18:$AZ$199,2*(ROWS(U$182:U182)-1)+1),"")</f>
        <v/>
      </c>
      <c r="V182" s="13" t="str">
        <f>IFERROR(INDEX('N04-S09'!$AN$18:$AN$199,2*(ROWS(V$182:V182)-1)+1),"")</f>
        <v/>
      </c>
      <c r="W182" s="207"/>
      <c r="X182" s="207"/>
      <c r="Y182" s="207"/>
      <c r="Z182" s="207"/>
      <c r="AA182" s="207"/>
      <c r="AB182" s="207"/>
      <c r="AC182" s="207"/>
      <c r="AD182" s="207"/>
      <c r="AE182" s="207"/>
      <c r="AF182" s="207"/>
      <c r="AG182" s="207"/>
      <c r="AH182" s="207"/>
      <c r="AI182" s="207"/>
      <c r="AJ182">
        <f>IFERROR(INDEX('N04-S09'!$Q$18:$Q$199,2*(ROWS(AJ$182:AJ182)-1)+1),"")</f>
        <v>0</v>
      </c>
      <c r="AK182">
        <f>IFERROR(INDEX('N04-S09'!$S$18:$S$199,2*(ROWS(AK$182:AK182)-1)+1),"")</f>
        <v>0</v>
      </c>
      <c r="AL182" s="207"/>
      <c r="AM182" s="207"/>
      <c r="AN182" s="207"/>
      <c r="AO182">
        <v>1</v>
      </c>
      <c r="AP182" s="189"/>
      <c r="AQ182" s="189"/>
      <c r="AR182" s="189"/>
      <c r="AS182" t="str">
        <f>IFERROR("Model - "&amp;INDEX('N04-S09'!$C$18:$C$199,2*(ROWS(AS$182:AS182)-1)+1),"")</f>
        <v xml:space="preserve">Model - </v>
      </c>
      <c r="AT182" s="189"/>
      <c r="AU182" s="189"/>
      <c r="AV182" s="189"/>
      <c r="AW182" s="189"/>
      <c r="AX182" t="s">
        <v>820</v>
      </c>
      <c r="AY182" s="170"/>
      <c r="AZ182" s="170"/>
      <c r="BA182" s="170"/>
      <c r="BB182" s="170"/>
      <c r="BC182" s="170"/>
      <c r="BD182" s="170"/>
      <c r="BE182" s="170"/>
      <c r="BF182" s="170"/>
      <c r="BG182" s="170"/>
      <c r="BH182" s="170"/>
      <c r="BI182" s="170"/>
      <c r="BJ182" s="170"/>
      <c r="BK182" s="170"/>
    </row>
    <row r="183" spans="1:63">
      <c r="A183" s="390"/>
      <c r="B183" s="58"/>
      <c r="C183" s="58"/>
      <c r="D183" s="58"/>
      <c r="E183" s="58"/>
      <c r="F183" s="58"/>
      <c r="G183" s="58"/>
      <c r="H183" s="385"/>
      <c r="I183" s="58"/>
      <c r="J183" s="386"/>
      <c r="K183" s="386"/>
      <c r="L183" s="386"/>
      <c r="M183" s="58"/>
      <c r="N183" s="58"/>
      <c r="O183" s="58"/>
      <c r="P183" s="387"/>
      <c r="Q183" s="387"/>
      <c r="R183" s="385"/>
      <c r="S183" s="385"/>
      <c r="T183" s="388"/>
      <c r="U183" s="388"/>
      <c r="V183" s="386"/>
      <c r="W183" s="386"/>
      <c r="X183" s="386"/>
      <c r="Y183" s="386"/>
      <c r="Z183" s="58"/>
      <c r="AA183" s="58"/>
      <c r="AB183" s="58"/>
      <c r="AC183" s="387"/>
      <c r="AD183" s="387"/>
      <c r="AE183" s="385"/>
      <c r="AF183" s="385"/>
      <c r="AG183" s="388"/>
      <c r="AH183" s="388"/>
      <c r="AI183" s="58"/>
      <c r="AJ183" s="385"/>
      <c r="AK183" s="385"/>
      <c r="AL183" s="385"/>
      <c r="AM183" s="385"/>
      <c r="AN183" s="385"/>
      <c r="AO183" s="58"/>
      <c r="AP183" s="58"/>
      <c r="AQ183" s="389"/>
      <c r="AR183" s="58"/>
      <c r="AS183" s="58"/>
      <c r="AT183" s="386"/>
      <c r="AU183" s="386"/>
      <c r="AV183" s="58"/>
      <c r="AW183" s="58"/>
      <c r="AX183" s="58"/>
      <c r="AY183" s="170"/>
      <c r="AZ183" s="170"/>
      <c r="BA183" s="170"/>
      <c r="BB183" s="170"/>
      <c r="BC183" s="170"/>
      <c r="BD183" s="170"/>
      <c r="BE183" s="170"/>
      <c r="BF183" s="170"/>
      <c r="BG183" s="170"/>
      <c r="BH183" s="170"/>
      <c r="BI183" s="170"/>
      <c r="BJ183" s="170"/>
      <c r="BK183" s="170"/>
    </row>
  </sheetData>
  <sheetProtection algorithmName="SHA-512" hashValue="vJtkSQtXorhcuW/1s6sg2DGp/94BlBOgU0f1IfoKzHLDcK/93gupqbJ/SXjMJc61HSdHT4oZmaD/TeqBvdSzUA==" saltValue="SnUGDVkhW/SKwO2WzW9YDw==" spinCount="100000" sheet="1" objects="1" scenarios="1"/>
  <hyperlinks>
    <hyperlink ref="A53" location="'n03-S05'!A1" display="'n03-S05'!A1" xr:uid="{5FA0D10F-FD08-4FA9-8F95-3D89F5F2139F}"/>
    <hyperlink ref="A17" location="'n03-S04'!A1" display="'n03-S04'!A1" xr:uid="{FA66B5A3-7FCB-4243-9C36-E6835EE62CC8}"/>
    <hyperlink ref="A69" location="'n03-S06'!A1" display="'n03-S06'!A1" xr:uid="{D779B552-0C73-4327-A2C9-41AE534D0CF8}"/>
    <hyperlink ref="A133" location="'n04-S04'!A1" display="'n04-S04'!A1" xr:uid="{F8CECE49-93EC-45E0-B62C-B70D5EF93C68}"/>
    <hyperlink ref="A85" location="'n04-S01'!A1" display="'n04-S01'!A1" xr:uid="{EAC9FB97-FA9F-4686-BA84-9830BFEFE36E}"/>
    <hyperlink ref="A117" location="'n04-S03'!A1" display="'n04-S03'!A1" xr:uid="{F67AFC96-EBE2-4215-B5BF-6F6BF3946B6F}"/>
    <hyperlink ref="A149" location="'n04-S05'!A1" display="'n04-S05'!A1" xr:uid="{8AA84236-3FD3-406C-9FC5-658CE8676172}"/>
    <hyperlink ref="A101" location="'n04-S02'!A1" display="'n04-S02'!A1" xr:uid="{C691FB93-DBA6-4271-A371-8D77D8E5D05C}"/>
    <hyperlink ref="A165" location="'n04-S06'!A1" display="'n04-S06'!A1" xr:uid="{83D9441E-8CEA-4E78-9709-6EA1EE28793E}"/>
    <hyperlink ref="A3" location="'N05-S07'!A1" display="Provisional Measure" xr:uid="{07041B0F-2BE2-46F7-BB5D-AFD255171C80}"/>
    <hyperlink ref="A5" location="'N03-S03-1b'!A1" display="Interior Lighting  - Traditional Lighting" xr:uid="{548CE306-6929-45E9-AC78-72E6021B629F}"/>
    <hyperlink ref="A12" location="'N03-S03-2b'!A1" display="Interior Lighting  - Grow Facility" xr:uid="{B855994B-5C56-431C-8096-FB35AFA6014A}"/>
    <hyperlink ref="A181" location="'N04-S09'!A1" display="Whole Building Performance" xr:uid="{EF4FC3EE-B6A8-4ED9-9AD8-1DB2D94D929F}"/>
  </hyperlinks>
  <pageMargins left="0" right="0" top="0" bottom="0" header="0" footer="0"/>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CE008-7527-4990-9B25-4A22C5C82666}">
  <sheetPr codeName="Sheet89">
    <tabColor theme="9" tint="0.59999389629810485"/>
  </sheetPr>
  <dimension ref="A1:AW78"/>
  <sheetViews>
    <sheetView zoomScale="85" zoomScaleNormal="85" workbookViewId="0">
      <pane ySplit="1" topLeftCell="A19" activePane="bottomLeft" state="frozen"/>
      <selection pane="bottomLeft" activeCell="E33" sqref="E33"/>
    </sheetView>
  </sheetViews>
  <sheetFormatPr defaultColWidth="9.140625" defaultRowHeight="15"/>
  <cols>
    <col min="1" max="1" width="9.140625" style="36"/>
    <col min="2" max="2" width="50.28515625" style="36" bestFit="1" customWidth="1"/>
    <col min="3" max="3" width="17" style="36" bestFit="1" customWidth="1"/>
    <col min="4" max="7" width="11.85546875" style="36" bestFit="1" customWidth="1"/>
    <col min="8" max="9" width="11.85546875" style="36" customWidth="1"/>
    <col min="10" max="10" width="9.140625" style="36"/>
    <col min="11" max="11" width="30.5703125" style="36" customWidth="1"/>
    <col min="12" max="12" width="21.28515625" style="36" bestFit="1" customWidth="1"/>
    <col min="13" max="13" width="57.28515625" style="36" customWidth="1"/>
    <col min="14" max="14" width="16.140625" style="36" bestFit="1" customWidth="1"/>
    <col min="15" max="15" width="95" style="36" bestFit="1" customWidth="1"/>
    <col min="16" max="16" width="13" style="36" bestFit="1" customWidth="1"/>
    <col min="17" max="17" width="17.28515625" style="36" bestFit="1" customWidth="1"/>
    <col min="18" max="18" width="24.140625" style="36" bestFit="1" customWidth="1"/>
    <col min="19" max="19" width="21.140625" style="36" bestFit="1" customWidth="1"/>
    <col min="20" max="20" width="23" style="36" customWidth="1"/>
    <col min="21" max="21" width="43.5703125" style="36" bestFit="1" customWidth="1"/>
    <col min="22" max="22" width="45" style="36" bestFit="1" customWidth="1"/>
    <col min="23" max="23" width="24.140625" style="36" bestFit="1" customWidth="1"/>
    <col min="24" max="24" width="33.7109375" style="36" bestFit="1" customWidth="1"/>
    <col min="25" max="25" width="25.28515625" style="36" customWidth="1"/>
    <col min="26" max="26" width="26.7109375" style="36" customWidth="1"/>
    <col min="27" max="28" width="30.140625" style="36" customWidth="1"/>
    <col min="29" max="29" width="24.28515625" style="36" bestFit="1" customWidth="1"/>
    <col min="30" max="30" width="29.7109375" style="36" customWidth="1"/>
    <col min="31" max="31" width="17.28515625" style="36" bestFit="1" customWidth="1"/>
    <col min="32" max="32" width="28" style="36" bestFit="1" customWidth="1"/>
    <col min="33" max="33" width="48" style="36" customWidth="1"/>
    <col min="34" max="34" width="15.85546875" style="36" customWidth="1"/>
    <col min="35" max="35" width="14.7109375" style="36" bestFit="1" customWidth="1"/>
    <col min="36" max="36" width="27.7109375" style="36" customWidth="1"/>
    <col min="37" max="37" width="28.7109375" style="36" customWidth="1"/>
    <col min="38" max="38" width="29.5703125" style="36" bestFit="1" customWidth="1"/>
    <col min="39" max="39" width="27.42578125" style="36" bestFit="1" customWidth="1"/>
    <col min="40" max="40" width="23.5703125" style="36" bestFit="1" customWidth="1"/>
    <col min="41" max="41" width="20.28515625" style="36" bestFit="1" customWidth="1"/>
    <col min="42" max="42" width="9.140625" style="36"/>
    <col min="43" max="43" width="5.28515625" style="36" customWidth="1"/>
    <col min="44" max="16384" width="9.140625" style="36"/>
  </cols>
  <sheetData>
    <row r="1" spans="1:49">
      <c r="K1" s="530" t="s">
        <v>2269</v>
      </c>
      <c r="N1" s="59" t="s">
        <v>799</v>
      </c>
      <c r="O1" s="59" t="s">
        <v>798</v>
      </c>
      <c r="P1" s="59" t="s">
        <v>0</v>
      </c>
      <c r="Q1" s="59"/>
      <c r="R1" s="59" t="s">
        <v>2267</v>
      </c>
      <c r="S1" s="59"/>
      <c r="T1" s="59"/>
      <c r="U1" s="59" t="s">
        <v>802</v>
      </c>
      <c r="V1" s="59" t="s">
        <v>803</v>
      </c>
      <c r="W1" s="59" t="s">
        <v>804</v>
      </c>
      <c r="X1" s="59" t="s">
        <v>805</v>
      </c>
      <c r="Y1" s="59" t="s">
        <v>2268</v>
      </c>
      <c r="Z1" s="59" t="s">
        <v>806</v>
      </c>
      <c r="AA1" s="59" t="s">
        <v>807</v>
      </c>
      <c r="AB1" s="59" t="s">
        <v>808</v>
      </c>
      <c r="AD1" s="529"/>
      <c r="AE1" s="59" t="s">
        <v>809</v>
      </c>
      <c r="AF1" t="s">
        <v>1997</v>
      </c>
      <c r="AG1"/>
      <c r="AH1"/>
      <c r="AI1"/>
    </row>
    <row r="2" spans="1:49">
      <c r="A2" s="568" t="s">
        <v>2302</v>
      </c>
      <c r="B2" s="508" t="s">
        <v>798</v>
      </c>
      <c r="C2" s="508" t="s">
        <v>1678</v>
      </c>
      <c r="D2" s="508" t="s">
        <v>302</v>
      </c>
      <c r="E2" s="508" t="s">
        <v>303</v>
      </c>
      <c r="F2" s="508" t="s">
        <v>304</v>
      </c>
      <c r="G2" s="508" t="s">
        <v>1152</v>
      </c>
      <c r="H2" s="272" t="s">
        <v>2213</v>
      </c>
      <c r="I2" s="528" t="s">
        <v>2330</v>
      </c>
      <c r="L2" s="266" t="s">
        <v>22</v>
      </c>
      <c r="M2" s="266" t="s">
        <v>798</v>
      </c>
      <c r="N2" s="531" t="s">
        <v>799</v>
      </c>
      <c r="O2" s="531" t="s">
        <v>810</v>
      </c>
      <c r="P2" s="531" t="s">
        <v>0</v>
      </c>
      <c r="Q2" s="266" t="s">
        <v>800</v>
      </c>
      <c r="R2" s="532" t="s">
        <v>801</v>
      </c>
      <c r="S2" s="267" t="s">
        <v>2172</v>
      </c>
      <c r="T2" s="267" t="s">
        <v>1240</v>
      </c>
      <c r="U2" s="531" t="s">
        <v>802</v>
      </c>
      <c r="V2" s="531" t="s">
        <v>803</v>
      </c>
      <c r="W2" s="531" t="s">
        <v>804</v>
      </c>
      <c r="X2" s="531" t="s">
        <v>805</v>
      </c>
      <c r="Y2" s="531" t="s">
        <v>1316</v>
      </c>
      <c r="Z2" s="531" t="s">
        <v>806</v>
      </c>
      <c r="AA2" s="531" t="s">
        <v>807</v>
      </c>
      <c r="AB2" s="531" t="s">
        <v>808</v>
      </c>
      <c r="AC2" s="277" t="s">
        <v>1319</v>
      </c>
      <c r="AD2" s="277" t="s">
        <v>1332</v>
      </c>
      <c r="AE2" s="531" t="s">
        <v>809</v>
      </c>
      <c r="AF2" s="266" t="s">
        <v>205</v>
      </c>
      <c r="AG2" s="266" t="s">
        <v>1365</v>
      </c>
      <c r="AH2" s="277" t="s">
        <v>2385</v>
      </c>
      <c r="AI2" s="277" t="s">
        <v>2386</v>
      </c>
      <c r="AJ2" s="277" t="s">
        <v>1335</v>
      </c>
      <c r="AK2" s="277" t="s">
        <v>1336</v>
      </c>
      <c r="AL2" s="277" t="s">
        <v>1337</v>
      </c>
      <c r="AM2" s="277" t="s">
        <v>1344</v>
      </c>
      <c r="AN2" s="277" t="s">
        <v>2002</v>
      </c>
      <c r="AO2" s="277" t="s">
        <v>2003</v>
      </c>
      <c r="AP2" s="277" t="s">
        <v>2064</v>
      </c>
    </row>
    <row r="3" spans="1:49">
      <c r="B3" s="270" t="s">
        <v>1871</v>
      </c>
      <c r="C3" s="522" t="str">
        <f ca="1">IF(NEWCONCODE="IECC 2021", "SEER2", "SEER")</f>
        <v>SEER</v>
      </c>
      <c r="D3">
        <v>13</v>
      </c>
      <c r="E3">
        <v>13</v>
      </c>
      <c r="F3" s="36">
        <v>13</v>
      </c>
      <c r="G3" s="36">
        <v>14</v>
      </c>
      <c r="H3" s="523">
        <v>13.4</v>
      </c>
      <c r="I3" s="528">
        <v>13.4</v>
      </c>
      <c r="J3" s="523" t="s">
        <v>2216</v>
      </c>
      <c r="L3" s="260" t="s">
        <v>1831</v>
      </c>
      <c r="M3" s="260" t="s">
        <v>1296</v>
      </c>
      <c r="N3" s="546">
        <v>348.1</v>
      </c>
      <c r="O3" s="260" t="s">
        <v>1296</v>
      </c>
      <c r="P3" s="260" t="s">
        <v>849</v>
      </c>
      <c r="Q3" s="260" t="s">
        <v>1303</v>
      </c>
      <c r="R3" s="547" t="s">
        <v>2270</v>
      </c>
      <c r="S3" s="578">
        <v>1500</v>
      </c>
      <c r="T3" s="271"/>
      <c r="U3" s="262">
        <v>2758</v>
      </c>
      <c r="V3" s="263">
        <v>14667.61</v>
      </c>
      <c r="W3" s="263">
        <v>2.609</v>
      </c>
      <c r="X3" s="264">
        <v>12</v>
      </c>
      <c r="Y3" s="260" t="s">
        <v>1328</v>
      </c>
      <c r="Z3" s="260">
        <v>0</v>
      </c>
      <c r="AA3" s="260" t="s">
        <v>1329</v>
      </c>
      <c r="AB3" s="260">
        <v>0.9</v>
      </c>
      <c r="AC3" s="36">
        <v>0</v>
      </c>
      <c r="AD3" s="36">
        <v>0</v>
      </c>
      <c r="AE3" s="265">
        <v>45658</v>
      </c>
      <c r="AF3" s="264">
        <v>1</v>
      </c>
      <c r="AG3" s="264" t="s">
        <v>819</v>
      </c>
    </row>
    <row r="4" spans="1:49">
      <c r="B4" s="260" t="s">
        <v>1870</v>
      </c>
      <c r="C4" t="s">
        <v>1340</v>
      </c>
      <c r="D4">
        <v>11.2</v>
      </c>
      <c r="E4">
        <v>11.2</v>
      </c>
      <c r="F4" s="36">
        <v>12.6</v>
      </c>
      <c r="G4" s="36">
        <v>12.6</v>
      </c>
      <c r="H4" s="36">
        <v>14.6</v>
      </c>
      <c r="I4" s="528">
        <v>14.6</v>
      </c>
      <c r="L4" s="260" t="s">
        <v>1832</v>
      </c>
      <c r="M4" s="260" t="s">
        <v>1297</v>
      </c>
      <c r="N4" s="546">
        <v>349.1</v>
      </c>
      <c r="O4" s="260" t="s">
        <v>1297</v>
      </c>
      <c r="P4" s="260" t="s">
        <v>849</v>
      </c>
      <c r="Q4" s="260" t="s">
        <v>1303</v>
      </c>
      <c r="R4" s="547" t="s">
        <v>2270</v>
      </c>
      <c r="S4" s="579">
        <v>1700</v>
      </c>
      <c r="T4" s="271"/>
      <c r="U4" s="262">
        <v>2758</v>
      </c>
      <c r="V4" s="263">
        <v>20150.27</v>
      </c>
      <c r="W4" s="263">
        <v>3.5842000000000001</v>
      </c>
      <c r="X4" s="264">
        <v>12</v>
      </c>
      <c r="Y4" s="260" t="s">
        <v>1328</v>
      </c>
      <c r="Z4" s="260">
        <v>0</v>
      </c>
      <c r="AA4" s="260" t="s">
        <v>1329</v>
      </c>
      <c r="AB4" s="260">
        <v>0.9</v>
      </c>
      <c r="AC4" s="36">
        <v>0</v>
      </c>
      <c r="AD4" s="36">
        <v>0</v>
      </c>
      <c r="AE4" s="265">
        <v>45658</v>
      </c>
      <c r="AF4" s="264">
        <v>2</v>
      </c>
      <c r="AG4" s="264" t="s">
        <v>819</v>
      </c>
    </row>
    <row r="5" spans="1:49">
      <c r="B5" s="260" t="s">
        <v>1869</v>
      </c>
      <c r="C5" t="s">
        <v>1340</v>
      </c>
      <c r="D5">
        <v>11</v>
      </c>
      <c r="E5">
        <v>11</v>
      </c>
      <c r="F5" s="36">
        <v>12.2</v>
      </c>
      <c r="G5" s="36">
        <v>12.2</v>
      </c>
      <c r="H5" s="36">
        <v>14</v>
      </c>
      <c r="I5" s="528">
        <v>14</v>
      </c>
      <c r="L5" s="260" t="s">
        <v>1833</v>
      </c>
      <c r="M5" s="260" t="s">
        <v>1298</v>
      </c>
      <c r="N5" s="546">
        <v>350.1</v>
      </c>
      <c r="O5" s="260" t="s">
        <v>1298</v>
      </c>
      <c r="P5" s="260" t="s">
        <v>849</v>
      </c>
      <c r="Q5" s="260" t="s">
        <v>1303</v>
      </c>
      <c r="R5" s="547" t="s">
        <v>2270</v>
      </c>
      <c r="S5" s="578">
        <v>1900</v>
      </c>
      <c r="T5" s="271"/>
      <c r="U5" s="262">
        <v>2758</v>
      </c>
      <c r="V5" s="263">
        <v>25629.64</v>
      </c>
      <c r="W5" s="263">
        <v>4.5587999999999997</v>
      </c>
      <c r="X5" s="264">
        <v>12</v>
      </c>
      <c r="Y5" s="260" t="s">
        <v>1328</v>
      </c>
      <c r="Z5" s="260">
        <v>0</v>
      </c>
      <c r="AA5" s="260" t="s">
        <v>1329</v>
      </c>
      <c r="AB5" s="260">
        <v>0.9</v>
      </c>
      <c r="AC5" s="36">
        <v>0</v>
      </c>
      <c r="AD5" s="36">
        <v>0</v>
      </c>
      <c r="AE5" s="265">
        <v>45658</v>
      </c>
      <c r="AF5" s="264">
        <v>3</v>
      </c>
      <c r="AG5" s="264" t="s">
        <v>819</v>
      </c>
    </row>
    <row r="6" spans="1:49">
      <c r="B6" s="260" t="s">
        <v>1879</v>
      </c>
      <c r="C6" t="s">
        <v>1340</v>
      </c>
      <c r="D6">
        <v>9.6999999999999993</v>
      </c>
      <c r="E6">
        <v>9.9</v>
      </c>
      <c r="F6" s="36">
        <v>11.4</v>
      </c>
      <c r="G6" s="36">
        <v>11.4</v>
      </c>
      <c r="H6" s="36">
        <v>13</v>
      </c>
      <c r="I6" s="528">
        <v>13</v>
      </c>
      <c r="L6" s="260" t="s">
        <v>1834</v>
      </c>
      <c r="M6" s="260" t="s">
        <v>1299</v>
      </c>
      <c r="N6" s="546">
        <v>351.1</v>
      </c>
      <c r="O6" s="260" t="s">
        <v>1299</v>
      </c>
      <c r="P6" s="260" t="s">
        <v>849</v>
      </c>
      <c r="Q6" s="260" t="s">
        <v>1303</v>
      </c>
      <c r="R6" s="547" t="s">
        <v>2270</v>
      </c>
      <c r="S6" s="579">
        <v>2100</v>
      </c>
      <c r="T6" s="271"/>
      <c r="U6" s="262">
        <v>2758</v>
      </c>
      <c r="V6" s="263">
        <v>31112.3</v>
      </c>
      <c r="W6" s="263">
        <v>5.5339999999999998</v>
      </c>
      <c r="X6" s="264">
        <v>12</v>
      </c>
      <c r="Y6" s="260" t="s">
        <v>1328</v>
      </c>
      <c r="Z6" s="260">
        <v>0</v>
      </c>
      <c r="AA6" s="260" t="s">
        <v>1329</v>
      </c>
      <c r="AB6" s="260">
        <v>0.9</v>
      </c>
      <c r="AC6" s="36">
        <v>0</v>
      </c>
      <c r="AD6" s="36">
        <v>0</v>
      </c>
      <c r="AE6" s="265">
        <v>45658</v>
      </c>
      <c r="AF6" s="264">
        <v>4</v>
      </c>
      <c r="AG6" s="264" t="s">
        <v>819</v>
      </c>
    </row>
    <row r="7" spans="1:49">
      <c r="B7" s="260" t="s">
        <v>1875</v>
      </c>
      <c r="C7" t="s">
        <v>1340</v>
      </c>
      <c r="D7">
        <v>9.4</v>
      </c>
      <c r="E7">
        <v>9.6</v>
      </c>
      <c r="F7" s="36">
        <v>11</v>
      </c>
      <c r="G7" s="36">
        <v>11</v>
      </c>
      <c r="H7" s="36">
        <v>12.3</v>
      </c>
      <c r="I7" s="528"/>
      <c r="L7" s="260" t="s">
        <v>1835</v>
      </c>
      <c r="M7" s="260" t="s">
        <v>1300</v>
      </c>
      <c r="N7" s="546">
        <v>345.1</v>
      </c>
      <c r="O7" s="260" t="s">
        <v>1300</v>
      </c>
      <c r="P7" s="260" t="s">
        <v>849</v>
      </c>
      <c r="Q7" s="260" t="s">
        <v>1303</v>
      </c>
      <c r="R7" s="547" t="s">
        <v>2270</v>
      </c>
      <c r="S7" s="578">
        <v>80</v>
      </c>
      <c r="T7" s="271"/>
      <c r="U7" s="262">
        <v>1000</v>
      </c>
      <c r="V7" s="263">
        <v>181.48</v>
      </c>
      <c r="W7" s="263">
        <v>1.9900000000000001E-2</v>
      </c>
      <c r="X7" s="264">
        <v>12</v>
      </c>
      <c r="Y7" s="260" t="s">
        <v>1330</v>
      </c>
      <c r="Z7" s="260">
        <v>150.5</v>
      </c>
      <c r="AA7" s="260" t="s">
        <v>1331</v>
      </c>
      <c r="AB7" s="260">
        <v>280</v>
      </c>
      <c r="AC7" s="36">
        <v>0</v>
      </c>
      <c r="AD7" s="36">
        <v>0</v>
      </c>
      <c r="AE7" s="265">
        <v>45658</v>
      </c>
      <c r="AF7" s="264">
        <v>5</v>
      </c>
      <c r="AG7" s="264" t="s">
        <v>819</v>
      </c>
    </row>
    <row r="8" spans="1:49">
      <c r="B8" s="260" t="s">
        <v>2217</v>
      </c>
      <c r="C8" s="522" t="str">
        <f ca="1">IF(NEWCONCODE="IECC 2021", "SEER2", "SEER")</f>
        <v>SEER</v>
      </c>
      <c r="D8">
        <v>13</v>
      </c>
      <c r="E8">
        <v>13</v>
      </c>
      <c r="F8" s="36">
        <v>14</v>
      </c>
      <c r="G8" s="36">
        <v>14</v>
      </c>
      <c r="H8" s="523">
        <v>14.3</v>
      </c>
      <c r="I8" s="528">
        <v>14.3</v>
      </c>
      <c r="J8" s="523" t="s">
        <v>2216</v>
      </c>
      <c r="L8" s="260" t="s">
        <v>1836</v>
      </c>
      <c r="M8" s="260" t="s">
        <v>1301</v>
      </c>
      <c r="N8" s="546">
        <v>346.1</v>
      </c>
      <c r="O8" s="260" t="s">
        <v>1301</v>
      </c>
      <c r="P8" s="260" t="s">
        <v>849</v>
      </c>
      <c r="Q8" s="260" t="s">
        <v>1303</v>
      </c>
      <c r="R8" s="547" t="s">
        <v>2270</v>
      </c>
      <c r="S8" s="579">
        <v>460</v>
      </c>
      <c r="T8" s="271"/>
      <c r="U8" s="262">
        <v>1000</v>
      </c>
      <c r="V8" s="263">
        <v>1051.46</v>
      </c>
      <c r="W8" s="263">
        <v>0.11509999999999999</v>
      </c>
      <c r="X8" s="264">
        <v>12</v>
      </c>
      <c r="Y8" s="260" t="s">
        <v>1330</v>
      </c>
      <c r="Z8" s="260">
        <v>294</v>
      </c>
      <c r="AA8" s="260" t="s">
        <v>1331</v>
      </c>
      <c r="AB8" s="260">
        <v>800</v>
      </c>
      <c r="AC8" s="36">
        <v>0</v>
      </c>
      <c r="AD8" s="36">
        <v>0</v>
      </c>
      <c r="AE8" s="265">
        <v>45658</v>
      </c>
      <c r="AF8" s="264">
        <v>6</v>
      </c>
      <c r="AG8" s="264" t="s">
        <v>819</v>
      </c>
    </row>
    <row r="9" spans="1:49">
      <c r="B9" s="260" t="s">
        <v>2218</v>
      </c>
      <c r="C9" s="522" t="str">
        <f ca="1">IF(NEWCONCODE="IECC 2021", "SEER2", "SEER")</f>
        <v>SEER</v>
      </c>
      <c r="D9">
        <v>13</v>
      </c>
      <c r="E9">
        <v>13</v>
      </c>
      <c r="F9" s="36">
        <v>14</v>
      </c>
      <c r="G9" s="36">
        <v>14</v>
      </c>
      <c r="H9" s="523">
        <v>13.4</v>
      </c>
      <c r="I9" s="528">
        <v>13.4</v>
      </c>
      <c r="J9" s="523" t="s">
        <v>2216</v>
      </c>
      <c r="L9" s="260" t="s">
        <v>1837</v>
      </c>
      <c r="M9" s="260" t="s">
        <v>1302</v>
      </c>
      <c r="N9" s="546">
        <v>347.2</v>
      </c>
      <c r="O9" s="260" t="s">
        <v>1302</v>
      </c>
      <c r="P9" s="260" t="s">
        <v>849</v>
      </c>
      <c r="Q9" s="260" t="s">
        <v>1303</v>
      </c>
      <c r="R9" s="547" t="s">
        <v>2270</v>
      </c>
      <c r="S9" s="578">
        <v>510</v>
      </c>
      <c r="T9" s="271"/>
      <c r="U9" s="262">
        <v>1000</v>
      </c>
      <c r="V9" s="263">
        <v>1742.57</v>
      </c>
      <c r="W9" s="263">
        <v>0.1908</v>
      </c>
      <c r="X9" s="264">
        <v>12</v>
      </c>
      <c r="Y9" s="260" t="s">
        <v>1330</v>
      </c>
      <c r="Z9" s="260">
        <v>480</v>
      </c>
      <c r="AA9" s="260" t="s">
        <v>1331</v>
      </c>
      <c r="AB9" s="260">
        <v>1200</v>
      </c>
      <c r="AC9" s="36">
        <v>0</v>
      </c>
      <c r="AD9" s="36">
        <v>0</v>
      </c>
      <c r="AE9" s="265">
        <v>45658</v>
      </c>
      <c r="AF9" s="264">
        <v>7</v>
      </c>
      <c r="AG9" s="264" t="s">
        <v>819</v>
      </c>
    </row>
    <row r="10" spans="1:49">
      <c r="B10" s="260" t="s">
        <v>1874</v>
      </c>
      <c r="C10" t="s">
        <v>1340</v>
      </c>
      <c r="D10">
        <v>11</v>
      </c>
      <c r="E10">
        <v>11</v>
      </c>
      <c r="F10" s="36">
        <v>11.8</v>
      </c>
      <c r="G10" s="36">
        <v>11.8</v>
      </c>
      <c r="H10" s="36">
        <v>13.9</v>
      </c>
      <c r="I10" s="528">
        <v>13.9</v>
      </c>
      <c r="L10" s="583">
        <v>9999999</v>
      </c>
      <c r="M10" s="260" t="s">
        <v>2380</v>
      </c>
      <c r="N10" s="546">
        <v>712.1</v>
      </c>
      <c r="O10" s="260" t="s">
        <v>2381</v>
      </c>
      <c r="P10" s="260" t="s">
        <v>849</v>
      </c>
      <c r="Q10" s="260" t="s">
        <v>761</v>
      </c>
      <c r="R10" s="547" t="s">
        <v>2382</v>
      </c>
      <c r="S10" s="268">
        <v>100</v>
      </c>
      <c r="T10" s="271"/>
      <c r="U10" s="268">
        <v>148.33000000000001</v>
      </c>
      <c r="V10" s="581">
        <v>726.85599999999999</v>
      </c>
      <c r="W10" s="582">
        <v>0.23200000000000001</v>
      </c>
      <c r="X10" s="264">
        <v>15</v>
      </c>
      <c r="Y10" s="260" t="s">
        <v>2383</v>
      </c>
      <c r="Z10" s="573"/>
      <c r="AA10" s="260" t="s">
        <v>2384</v>
      </c>
      <c r="AB10" s="573"/>
      <c r="AE10" s="265">
        <v>45658</v>
      </c>
      <c r="AF10" s="264">
        <v>8</v>
      </c>
      <c r="AG10" s="264" t="s">
        <v>819</v>
      </c>
      <c r="AH10" s="36">
        <v>16</v>
      </c>
      <c r="AI10" s="36">
        <v>24</v>
      </c>
    </row>
    <row r="11" spans="1:49">
      <c r="B11" s="260" t="s">
        <v>1876</v>
      </c>
      <c r="C11" t="s">
        <v>1340</v>
      </c>
      <c r="D11">
        <v>10.5</v>
      </c>
      <c r="E11">
        <v>10.5</v>
      </c>
      <c r="F11" s="36">
        <v>11.4</v>
      </c>
      <c r="G11" s="36">
        <v>11.4</v>
      </c>
      <c r="H11" s="36">
        <v>13.3</v>
      </c>
      <c r="I11" s="528">
        <v>13.3</v>
      </c>
      <c r="L11" s="576">
        <v>32411703</v>
      </c>
      <c r="M11" s="576" t="s">
        <v>2101</v>
      </c>
      <c r="N11" s="576">
        <v>550</v>
      </c>
      <c r="O11" s="576" t="s">
        <v>2056</v>
      </c>
      <c r="P11" s="576" t="s">
        <v>849</v>
      </c>
      <c r="Q11" s="576" t="s">
        <v>29</v>
      </c>
      <c r="R11" s="576" t="s">
        <v>24</v>
      </c>
      <c r="S11" s="576">
        <v>120</v>
      </c>
      <c r="T11" s="576"/>
      <c r="U11" s="576">
        <v>306</v>
      </c>
      <c r="V11" s="576">
        <v>805</v>
      </c>
      <c r="W11" s="576">
        <v>9.1999999999999998E-2</v>
      </c>
      <c r="X11" s="576">
        <v>10</v>
      </c>
      <c r="Y11" s="576" t="s">
        <v>2061</v>
      </c>
      <c r="Z11" s="576" t="s">
        <v>2062</v>
      </c>
      <c r="AA11" s="576" t="s">
        <v>2063</v>
      </c>
      <c r="AB11" s="576">
        <v>0</v>
      </c>
      <c r="AC11" s="576">
        <v>0</v>
      </c>
      <c r="AD11" s="576">
        <v>0</v>
      </c>
      <c r="AE11" s="576">
        <v>44562</v>
      </c>
      <c r="AF11" s="576">
        <v>9</v>
      </c>
      <c r="AG11" s="576" t="s">
        <v>819</v>
      </c>
    </row>
    <row r="12" spans="1:49">
      <c r="B12" s="260" t="s">
        <v>1890</v>
      </c>
      <c r="C12" t="s">
        <v>1340</v>
      </c>
      <c r="D12">
        <v>9.4</v>
      </c>
      <c r="E12">
        <v>9.4</v>
      </c>
      <c r="F12" s="36">
        <v>9.4</v>
      </c>
      <c r="G12" s="36">
        <v>9.4</v>
      </c>
      <c r="H12" s="36">
        <v>12.3</v>
      </c>
      <c r="I12" s="528">
        <v>12.3</v>
      </c>
      <c r="L12" s="576">
        <v>32411704</v>
      </c>
      <c r="M12" s="576" t="s">
        <v>2102</v>
      </c>
      <c r="N12" s="576">
        <v>551</v>
      </c>
      <c r="O12" s="576" t="s">
        <v>2057</v>
      </c>
      <c r="P12" s="576" t="s">
        <v>849</v>
      </c>
      <c r="Q12" s="576" t="s">
        <v>29</v>
      </c>
      <c r="R12" s="576" t="s">
        <v>24</v>
      </c>
      <c r="S12" s="576">
        <v>150</v>
      </c>
      <c r="T12" s="576"/>
      <c r="U12" s="576">
        <v>266</v>
      </c>
      <c r="V12" s="576">
        <v>1117</v>
      </c>
      <c r="W12" s="576">
        <v>0.115</v>
      </c>
      <c r="X12" s="576">
        <v>10</v>
      </c>
      <c r="Y12" s="576" t="s">
        <v>2061</v>
      </c>
      <c r="Z12" s="576" t="s">
        <v>2062</v>
      </c>
      <c r="AA12" s="576" t="s">
        <v>2063</v>
      </c>
      <c r="AB12" s="576">
        <v>0</v>
      </c>
      <c r="AC12" s="576">
        <v>0</v>
      </c>
      <c r="AD12" s="576">
        <v>0</v>
      </c>
      <c r="AE12" s="576">
        <v>44562</v>
      </c>
      <c r="AF12" s="576">
        <v>10</v>
      </c>
      <c r="AG12" s="576" t="s">
        <v>819</v>
      </c>
    </row>
    <row r="13" spans="1:49">
      <c r="B13" s="260" t="s">
        <v>1983</v>
      </c>
      <c r="C13" s="260" t="s">
        <v>1338</v>
      </c>
      <c r="D13">
        <v>12.5</v>
      </c>
      <c r="E13">
        <v>12.5</v>
      </c>
      <c r="F13" s="36">
        <v>13.7</v>
      </c>
      <c r="G13" s="36">
        <v>13.7</v>
      </c>
      <c r="H13" s="36">
        <v>13.7</v>
      </c>
      <c r="I13" s="528"/>
      <c r="L13" s="576">
        <v>32411705</v>
      </c>
      <c r="M13" s="576" t="s">
        <v>2103</v>
      </c>
      <c r="N13" s="576">
        <v>552</v>
      </c>
      <c r="O13" s="576" t="s">
        <v>2058</v>
      </c>
      <c r="P13" s="576" t="s">
        <v>849</v>
      </c>
      <c r="Q13" s="576" t="s">
        <v>29</v>
      </c>
      <c r="R13" s="576" t="s">
        <v>24</v>
      </c>
      <c r="S13" s="576">
        <v>230</v>
      </c>
      <c r="T13" s="576"/>
      <c r="U13" s="576">
        <v>249</v>
      </c>
      <c r="V13" s="576">
        <v>1807</v>
      </c>
      <c r="W13" s="576">
        <v>0.186</v>
      </c>
      <c r="X13" s="576">
        <v>10</v>
      </c>
      <c r="Y13" s="576" t="s">
        <v>2061</v>
      </c>
      <c r="Z13" s="576" t="s">
        <v>2062</v>
      </c>
      <c r="AA13" s="576" t="s">
        <v>2063</v>
      </c>
      <c r="AB13" s="576">
        <v>0</v>
      </c>
      <c r="AC13" s="576">
        <v>0</v>
      </c>
      <c r="AD13" s="576">
        <v>0</v>
      </c>
      <c r="AE13" s="576">
        <v>44562</v>
      </c>
      <c r="AF13" s="576">
        <v>11</v>
      </c>
      <c r="AG13" s="576" t="s">
        <v>819</v>
      </c>
    </row>
    <row r="14" spans="1:49">
      <c r="B14" s="260" t="s">
        <v>1984</v>
      </c>
      <c r="C14" s="260" t="s">
        <v>1338</v>
      </c>
      <c r="D14">
        <v>12.75</v>
      </c>
      <c r="E14">
        <v>12.75</v>
      </c>
      <c r="F14" s="36">
        <v>14</v>
      </c>
      <c r="G14" s="36">
        <v>14</v>
      </c>
      <c r="H14" s="36">
        <v>14</v>
      </c>
      <c r="I14" s="528"/>
      <c r="L14" s="576">
        <v>32411706</v>
      </c>
      <c r="M14" s="576" t="s">
        <v>2104</v>
      </c>
      <c r="N14" s="576">
        <v>553</v>
      </c>
      <c r="O14" s="576" t="s">
        <v>2059</v>
      </c>
      <c r="P14" s="576" t="s">
        <v>849</v>
      </c>
      <c r="Q14" s="576" t="s">
        <v>29</v>
      </c>
      <c r="R14" s="576" t="s">
        <v>24</v>
      </c>
      <c r="S14" s="576">
        <v>400</v>
      </c>
      <c r="T14" s="576"/>
      <c r="U14" s="576">
        <v>589</v>
      </c>
      <c r="V14" s="576">
        <v>2601</v>
      </c>
      <c r="W14" s="576">
        <v>0.26700000000000002</v>
      </c>
      <c r="X14" s="576">
        <v>10</v>
      </c>
      <c r="Y14" s="576" t="s">
        <v>2061</v>
      </c>
      <c r="Z14" s="576" t="s">
        <v>2062</v>
      </c>
      <c r="AA14" s="576" t="s">
        <v>2063</v>
      </c>
      <c r="AB14" s="576">
        <v>0</v>
      </c>
      <c r="AC14" s="576">
        <v>0</v>
      </c>
      <c r="AD14" s="576">
        <v>0</v>
      </c>
      <c r="AE14" s="576">
        <v>44562</v>
      </c>
      <c r="AF14" s="576">
        <v>12</v>
      </c>
      <c r="AG14" s="576" t="s">
        <v>819</v>
      </c>
      <c r="AQ14"/>
      <c r="AR14"/>
      <c r="AS14"/>
      <c r="AT14"/>
      <c r="AU14"/>
      <c r="AV14"/>
    </row>
    <row r="15" spans="1:49">
      <c r="B15" s="260" t="s">
        <v>1996</v>
      </c>
      <c r="C15" s="260" t="s">
        <v>1995</v>
      </c>
      <c r="D15">
        <v>0.63</v>
      </c>
      <c r="E15">
        <v>0.63</v>
      </c>
      <c r="F15" s="36">
        <v>0.6</v>
      </c>
      <c r="G15" s="36">
        <v>0.6</v>
      </c>
      <c r="H15" s="36">
        <v>0.6</v>
      </c>
      <c r="I15" s="528"/>
      <c r="L15" s="576">
        <v>32411707</v>
      </c>
      <c r="M15" s="576" t="s">
        <v>2105</v>
      </c>
      <c r="N15" s="576">
        <v>554</v>
      </c>
      <c r="O15" s="576" t="s">
        <v>2060</v>
      </c>
      <c r="P15" s="576" t="s">
        <v>849</v>
      </c>
      <c r="Q15" s="576" t="s">
        <v>29</v>
      </c>
      <c r="R15" s="576" t="s">
        <v>24</v>
      </c>
      <c r="S15" s="576">
        <v>500</v>
      </c>
      <c r="T15" s="576"/>
      <c r="U15" s="576">
        <v>939</v>
      </c>
      <c r="V15" s="576">
        <v>3641</v>
      </c>
      <c r="W15" s="576">
        <v>0.374</v>
      </c>
      <c r="X15" s="576">
        <v>10</v>
      </c>
      <c r="Y15" s="576" t="s">
        <v>2061</v>
      </c>
      <c r="Z15" s="576" t="s">
        <v>2062</v>
      </c>
      <c r="AA15" s="576" t="s">
        <v>2063</v>
      </c>
      <c r="AB15" s="576">
        <v>0</v>
      </c>
      <c r="AC15" s="576">
        <v>0</v>
      </c>
      <c r="AD15" s="576">
        <v>0</v>
      </c>
      <c r="AE15" s="576">
        <v>44562</v>
      </c>
      <c r="AF15" s="576">
        <v>13</v>
      </c>
      <c r="AG15" s="576" t="s">
        <v>819</v>
      </c>
      <c r="AQ15"/>
      <c r="AR15"/>
      <c r="AS15"/>
      <c r="AT15"/>
      <c r="AU15"/>
      <c r="AV15"/>
    </row>
    <row r="16" spans="1:49" ht="16.5" customHeight="1">
      <c r="B16" s="260" t="s">
        <v>2004</v>
      </c>
      <c r="C16" s="260" t="s">
        <v>1995</v>
      </c>
      <c r="D16">
        <v>0.61499999999999999</v>
      </c>
      <c r="E16">
        <v>0.61499999999999999</v>
      </c>
      <c r="F16" s="36">
        <v>0.56000000000000005</v>
      </c>
      <c r="G16" s="36">
        <v>0.56000000000000005</v>
      </c>
      <c r="H16" s="36">
        <v>0.56000000000000005</v>
      </c>
      <c r="I16" s="528"/>
      <c r="L16" s="576">
        <v>31412006</v>
      </c>
      <c r="M16" s="576" t="s">
        <v>2292</v>
      </c>
      <c r="N16" s="576">
        <v>786</v>
      </c>
      <c r="O16" s="576" t="s">
        <v>2291</v>
      </c>
      <c r="P16" s="575" t="s">
        <v>849</v>
      </c>
      <c r="Q16" s="576" t="s">
        <v>51</v>
      </c>
      <c r="R16" s="576" t="s">
        <v>2270</v>
      </c>
      <c r="S16" s="576">
        <v>650</v>
      </c>
      <c r="T16" s="576"/>
      <c r="U16" s="576">
        <v>1199</v>
      </c>
      <c r="V16" s="576">
        <v>4131.2642999999998</v>
      </c>
      <c r="W16" s="576">
        <v>0.59150000000000003</v>
      </c>
      <c r="X16" s="576">
        <v>15</v>
      </c>
      <c r="Y16" s="576" t="s">
        <v>2271</v>
      </c>
      <c r="Z16" s="576">
        <v>3.3</v>
      </c>
      <c r="AA16" s="576" t="s">
        <v>2272</v>
      </c>
      <c r="AB16" s="576">
        <v>0.92069999999999996</v>
      </c>
      <c r="AC16" s="576"/>
      <c r="AD16" s="577"/>
      <c r="AE16" s="576">
        <v>45292</v>
      </c>
      <c r="AF16" s="576">
        <v>19</v>
      </c>
      <c r="AG16" s="576" t="s">
        <v>819</v>
      </c>
      <c r="AP16"/>
      <c r="AQ16"/>
      <c r="AR16"/>
      <c r="AS16"/>
      <c r="AT16"/>
      <c r="AU16"/>
      <c r="AV16"/>
      <c r="AW16"/>
    </row>
    <row r="17" spans="1:49" ht="16.5" customHeight="1">
      <c r="B17" s="260" t="s">
        <v>2005</v>
      </c>
      <c r="C17" s="260" t="s">
        <v>1995</v>
      </c>
      <c r="D17">
        <v>0.57999999999999996</v>
      </c>
      <c r="E17">
        <v>0.57999999999999996</v>
      </c>
      <c r="F17" s="36">
        <v>0.54</v>
      </c>
      <c r="G17" s="36">
        <v>0.54</v>
      </c>
      <c r="H17" s="36">
        <v>0.54</v>
      </c>
      <c r="I17" s="528"/>
      <c r="L17" s="266" t="s">
        <v>22</v>
      </c>
      <c r="M17" s="266" t="s">
        <v>798</v>
      </c>
      <c r="N17" s="531" t="s">
        <v>799</v>
      </c>
      <c r="O17" s="531" t="s">
        <v>810</v>
      </c>
      <c r="P17" s="531" t="s">
        <v>0</v>
      </c>
      <c r="Q17" s="266" t="s">
        <v>800</v>
      </c>
      <c r="R17" s="532" t="s">
        <v>801</v>
      </c>
      <c r="S17" s="267" t="s">
        <v>2172</v>
      </c>
      <c r="T17" s="267" t="s">
        <v>1240</v>
      </c>
      <c r="U17" s="531" t="s">
        <v>802</v>
      </c>
      <c r="V17" s="531" t="s">
        <v>803</v>
      </c>
      <c r="W17" s="531" t="s">
        <v>804</v>
      </c>
      <c r="X17" s="531" t="s">
        <v>805</v>
      </c>
      <c r="Y17" s="531" t="s">
        <v>1316</v>
      </c>
      <c r="Z17" s="531" t="s">
        <v>806</v>
      </c>
      <c r="AA17" s="531" t="s">
        <v>807</v>
      </c>
      <c r="AB17" s="531" t="s">
        <v>808</v>
      </c>
      <c r="AC17" s="277" t="s">
        <v>1319</v>
      </c>
      <c r="AD17" s="277" t="s">
        <v>1332</v>
      </c>
      <c r="AE17" s="266" t="s">
        <v>809</v>
      </c>
      <c r="AF17" s="266" t="s">
        <v>205</v>
      </c>
      <c r="AG17" s="266" t="s">
        <v>1365</v>
      </c>
      <c r="AH17" s="277" t="s">
        <v>1333</v>
      </c>
      <c r="AI17" s="277" t="s">
        <v>1334</v>
      </c>
      <c r="AJ17" s="277" t="s">
        <v>1335</v>
      </c>
      <c r="AK17" s="277" t="s">
        <v>1336</v>
      </c>
      <c r="AL17" s="277" t="s">
        <v>1337</v>
      </c>
      <c r="AM17" s="277" t="s">
        <v>1344</v>
      </c>
      <c r="AN17" s="277" t="s">
        <v>2002</v>
      </c>
      <c r="AO17" s="277" t="s">
        <v>2003</v>
      </c>
      <c r="AP17" s="277" t="s">
        <v>2064</v>
      </c>
      <c r="AQ17"/>
      <c r="AR17"/>
      <c r="AS17"/>
      <c r="AT17"/>
      <c r="AU17"/>
      <c r="AV17"/>
      <c r="AW17"/>
    </row>
    <row r="18" spans="1:49" ht="16.5" customHeight="1">
      <c r="B18" s="260" t="s">
        <v>2009</v>
      </c>
      <c r="C18" s="260" t="s">
        <v>1995</v>
      </c>
      <c r="D18">
        <v>0.54</v>
      </c>
      <c r="E18">
        <v>0.54</v>
      </c>
      <c r="F18" s="36">
        <v>0.52</v>
      </c>
      <c r="G18" s="36">
        <v>0.52</v>
      </c>
      <c r="H18" s="36">
        <v>0.52</v>
      </c>
      <c r="I18" s="528"/>
      <c r="L18" s="260"/>
      <c r="M18" s="260"/>
      <c r="N18" s="261"/>
      <c r="O18" s="260"/>
      <c r="P18" s="260"/>
      <c r="Q18" s="260"/>
      <c r="R18" s="268"/>
      <c r="S18" s="271"/>
      <c r="T18" s="271"/>
      <c r="U18" s="262"/>
      <c r="V18" s="263"/>
      <c r="W18" s="263"/>
      <c r="X18" s="264"/>
      <c r="Y18" s="260"/>
      <c r="Z18" s="276"/>
      <c r="AA18" s="260"/>
      <c r="AB18" s="264"/>
      <c r="AC18" s="260"/>
      <c r="AD18" s="260"/>
      <c r="AE18" s="265"/>
      <c r="AF18" s="269"/>
      <c r="AG18" s="264"/>
      <c r="AH18" s="260"/>
      <c r="AI18" s="260"/>
      <c r="AJ18" s="260"/>
      <c r="AK18" s="260"/>
      <c r="AL18" s="260"/>
      <c r="AM18" s="260"/>
      <c r="AN18" s="260"/>
      <c r="AO18" s="260"/>
      <c r="AP18" s="260"/>
      <c r="AQ18" s="260"/>
      <c r="AR18" s="260"/>
      <c r="AS18" s="260"/>
      <c r="AT18" s="260"/>
      <c r="AU18" s="260"/>
      <c r="AV18" s="260"/>
      <c r="AW18" s="260"/>
    </row>
    <row r="19" spans="1:49" ht="16.5" customHeight="1">
      <c r="B19" s="260" t="s">
        <v>2010</v>
      </c>
      <c r="C19" s="260" t="s">
        <v>1995</v>
      </c>
      <c r="D19">
        <v>0.54</v>
      </c>
      <c r="E19">
        <v>0.54</v>
      </c>
      <c r="F19" s="36">
        <v>0.5</v>
      </c>
      <c r="G19" s="36">
        <v>0.5</v>
      </c>
      <c r="H19" s="36">
        <v>0.5</v>
      </c>
      <c r="I19" s="528"/>
      <c r="L19" s="260"/>
      <c r="M19" s="260"/>
      <c r="N19" s="409"/>
      <c r="O19" s="408"/>
      <c r="P19" s="260"/>
      <c r="Q19" s="260"/>
      <c r="R19" s="414"/>
      <c r="S19" s="271"/>
      <c r="T19" s="271"/>
      <c r="U19" s="415"/>
      <c r="V19" s="410"/>
      <c r="W19" s="410"/>
      <c r="X19" s="411"/>
      <c r="Y19" s="408"/>
      <c r="Z19" s="412"/>
      <c r="AA19" s="408"/>
      <c r="AB19" s="411"/>
      <c r="AC19" s="260"/>
      <c r="AD19" s="260"/>
      <c r="AE19" s="413"/>
      <c r="AF19" s="269"/>
      <c r="AG19" s="264"/>
      <c r="AH19" s="260"/>
      <c r="AI19" s="260"/>
      <c r="AJ19" s="260"/>
      <c r="AK19" s="260"/>
      <c r="AL19" s="260"/>
      <c r="AM19" s="260"/>
      <c r="AN19" s="260"/>
      <c r="AO19" s="260"/>
      <c r="AP19" s="260"/>
      <c r="AQ19" s="260"/>
      <c r="AR19" s="260"/>
      <c r="AS19" s="260"/>
      <c r="AT19" s="260"/>
      <c r="AU19" s="260"/>
      <c r="AV19" s="260"/>
    </row>
    <row r="20" spans="1:49" ht="16.5" customHeight="1">
      <c r="B20" s="260" t="s">
        <v>1993</v>
      </c>
      <c r="C20" s="260" t="s">
        <v>1995</v>
      </c>
      <c r="D20">
        <v>0.59599999999999997</v>
      </c>
      <c r="E20">
        <v>0.59599999999999997</v>
      </c>
      <c r="F20" s="36">
        <v>0.55000000000000004</v>
      </c>
      <c r="G20" s="36">
        <v>0.55000000000000004</v>
      </c>
      <c r="H20" s="36">
        <v>0.55000000000000004</v>
      </c>
      <c r="I20" s="528"/>
      <c r="AD20" s="264"/>
      <c r="AM20"/>
      <c r="AN20"/>
      <c r="AO20"/>
      <c r="AP20" s="260"/>
      <c r="AQ20" s="260"/>
      <c r="AR20" s="260"/>
      <c r="AS20" s="260"/>
      <c r="AT20" s="260"/>
      <c r="AU20" s="260"/>
      <c r="AV20" s="260"/>
      <c r="AW20" s="260"/>
    </row>
    <row r="21" spans="1:49" ht="16.5" customHeight="1">
      <c r="B21" s="260" t="s">
        <v>2006</v>
      </c>
      <c r="C21" s="260" t="s">
        <v>1995</v>
      </c>
      <c r="D21">
        <v>0.59599999999999997</v>
      </c>
      <c r="E21">
        <v>0.59599999999999997</v>
      </c>
      <c r="F21" s="36">
        <v>0.55000000000000004</v>
      </c>
      <c r="G21" s="36">
        <v>0.55000000000000004</v>
      </c>
      <c r="H21" s="36">
        <v>0.55000000000000004</v>
      </c>
      <c r="I21" s="528"/>
      <c r="L21" s="266" t="s">
        <v>22</v>
      </c>
      <c r="M21" s="266" t="s">
        <v>798</v>
      </c>
      <c r="N21" s="533" t="s">
        <v>799</v>
      </c>
      <c r="O21" s="533" t="s">
        <v>810</v>
      </c>
      <c r="P21" s="533" t="s">
        <v>0</v>
      </c>
      <c r="Q21" s="266" t="s">
        <v>800</v>
      </c>
      <c r="R21" s="532" t="s">
        <v>801</v>
      </c>
      <c r="S21" s="267" t="s">
        <v>2172</v>
      </c>
      <c r="T21" s="267" t="s">
        <v>1240</v>
      </c>
      <c r="U21" s="533" t="s">
        <v>802</v>
      </c>
      <c r="V21" s="533" t="s">
        <v>803</v>
      </c>
      <c r="W21" s="533" t="s">
        <v>804</v>
      </c>
      <c r="X21" s="533" t="s">
        <v>805</v>
      </c>
      <c r="Y21" s="533" t="s">
        <v>1316</v>
      </c>
      <c r="Z21" s="533" t="s">
        <v>806</v>
      </c>
      <c r="AA21" s="533" t="s">
        <v>807</v>
      </c>
      <c r="AB21" s="533" t="s">
        <v>808</v>
      </c>
      <c r="AC21" s="534" t="s">
        <v>2285</v>
      </c>
      <c r="AD21" s="507" t="s">
        <v>2286</v>
      </c>
      <c r="AE21" s="533" t="s">
        <v>809</v>
      </c>
      <c r="AF21" s="266" t="s">
        <v>205</v>
      </c>
      <c r="AG21" s="266" t="s">
        <v>1365</v>
      </c>
      <c r="AH21" s="534" t="s">
        <v>1341</v>
      </c>
      <c r="AI21" s="534" t="s">
        <v>1342</v>
      </c>
      <c r="AJ21" s="266" t="s">
        <v>2284</v>
      </c>
      <c r="AK21" s="507" t="s">
        <v>2283</v>
      </c>
      <c r="AL21" s="266" t="s">
        <v>1228</v>
      </c>
      <c r="AM21" s="266" t="s">
        <v>1229</v>
      </c>
      <c r="AN21" s="277" t="s">
        <v>2287</v>
      </c>
      <c r="AO21" s="506" t="s">
        <v>2288</v>
      </c>
      <c r="AP21" s="277" t="s">
        <v>1319</v>
      </c>
      <c r="AQ21" s="538"/>
      <c r="AR21" t="s">
        <v>799</v>
      </c>
      <c r="AS21" t="s">
        <v>2298</v>
      </c>
      <c r="AT21" t="s">
        <v>2299</v>
      </c>
      <c r="AU21" t="s">
        <v>2300</v>
      </c>
      <c r="AV21" t="s">
        <v>2301</v>
      </c>
      <c r="AW21" t="s">
        <v>205</v>
      </c>
    </row>
    <row r="22" spans="1:49" ht="16.5" customHeight="1">
      <c r="B22" s="260" t="s">
        <v>2007</v>
      </c>
      <c r="C22" s="260" t="s">
        <v>1995</v>
      </c>
      <c r="D22">
        <v>0.54900000000000004</v>
      </c>
      <c r="E22">
        <v>0.54900000000000004</v>
      </c>
      <c r="F22" s="36">
        <v>0.52</v>
      </c>
      <c r="G22" s="36">
        <v>0.52</v>
      </c>
      <c r="H22" s="36">
        <v>0.52</v>
      </c>
      <c r="I22" s="528"/>
      <c r="L22" s="260" t="s">
        <v>1838</v>
      </c>
      <c r="M22" s="270" t="s">
        <v>1871</v>
      </c>
      <c r="N22" s="548">
        <v>364.5</v>
      </c>
      <c r="O22" s="260" t="s">
        <v>1310</v>
      </c>
      <c r="P22" s="260" t="s">
        <v>849</v>
      </c>
      <c r="Q22" s="260" t="s">
        <v>1315</v>
      </c>
      <c r="R22" s="554" t="s">
        <v>2273</v>
      </c>
      <c r="S22" s="268">
        <v>26</v>
      </c>
      <c r="T22" s="271"/>
      <c r="U22" s="262">
        <v>49.48</v>
      </c>
      <c r="V22" s="572">
        <v>62.25</v>
      </c>
      <c r="W22" s="263">
        <v>4.5400000000000003E-2</v>
      </c>
      <c r="X22" s="264">
        <v>15</v>
      </c>
      <c r="Y22" s="260"/>
      <c r="Z22" s="264"/>
      <c r="AA22" s="260"/>
      <c r="AB22" s="549"/>
      <c r="AC22" s="36" t="s">
        <v>2219</v>
      </c>
      <c r="AD22"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v>
      </c>
      <c r="AE22" s="265">
        <v>45658</v>
      </c>
      <c r="AF22" s="269">
        <v>1</v>
      </c>
      <c r="AG22" s="544" t="s">
        <v>820</v>
      </c>
      <c r="AH22" s="260">
        <v>1065</v>
      </c>
      <c r="AI22" s="260"/>
      <c r="AJ22" s="260" t="s">
        <v>2216</v>
      </c>
      <c r="AK22"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13.4</v>
      </c>
      <c r="AL22" s="550">
        <v>0</v>
      </c>
      <c r="AM22" s="550">
        <f>65/12</f>
        <v>5.416666666666667</v>
      </c>
      <c r="AN22" s="260"/>
      <c r="AO22"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22" s="260"/>
      <c r="AQ22" s="538"/>
      <c r="AR22" s="26">
        <v>364.4</v>
      </c>
      <c r="AS22" t="s">
        <v>2302</v>
      </c>
      <c r="AT22" t="s">
        <v>2303</v>
      </c>
      <c r="AU22"/>
      <c r="AV22"/>
      <c r="AW22">
        <v>1</v>
      </c>
    </row>
    <row r="23" spans="1:49" ht="16.5" customHeight="1">
      <c r="B23" s="260" t="s">
        <v>2008</v>
      </c>
      <c r="C23" s="260" t="s">
        <v>1995</v>
      </c>
      <c r="D23">
        <v>0.54900000000000004</v>
      </c>
      <c r="E23">
        <v>0.54900000000000004</v>
      </c>
      <c r="F23" s="36">
        <v>0.5</v>
      </c>
      <c r="G23" s="36">
        <v>0.5</v>
      </c>
      <c r="H23" s="36">
        <v>0.5</v>
      </c>
      <c r="I23" s="528"/>
      <c r="L23" s="260" t="s">
        <v>1839</v>
      </c>
      <c r="M23" s="260" t="s">
        <v>1870</v>
      </c>
      <c r="N23" s="548">
        <v>362.5</v>
      </c>
      <c r="O23" s="260" t="s">
        <v>1314</v>
      </c>
      <c r="P23" s="260" t="s">
        <v>849</v>
      </c>
      <c r="Q23" s="260" t="s">
        <v>1315</v>
      </c>
      <c r="R23" s="554" t="s">
        <v>2274</v>
      </c>
      <c r="S23" s="268">
        <v>23</v>
      </c>
      <c r="T23" s="271"/>
      <c r="U23" s="262">
        <v>49.04</v>
      </c>
      <c r="V23" s="572">
        <v>52.93</v>
      </c>
      <c r="W23" s="263">
        <v>4.6699999999999998E-2</v>
      </c>
      <c r="X23" s="264">
        <v>15</v>
      </c>
      <c r="Y23" s="260"/>
      <c r="Z23" s="264"/>
      <c r="AA23" s="260"/>
      <c r="AB23" s="549"/>
      <c r="AC23" s="36" t="s">
        <v>1338</v>
      </c>
      <c r="AD23"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11</v>
      </c>
      <c r="AE23" s="265">
        <v>45658</v>
      </c>
      <c r="AF23" s="269">
        <v>2</v>
      </c>
      <c r="AG23" s="544" t="s">
        <v>820</v>
      </c>
      <c r="AH23" s="260">
        <v>1065</v>
      </c>
      <c r="AI23" s="260"/>
      <c r="AJ23" s="260" t="s">
        <v>1340</v>
      </c>
      <c r="AK23"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14.6</v>
      </c>
      <c r="AL23" s="550">
        <f>65/12</f>
        <v>5.416666666666667</v>
      </c>
      <c r="AM23" s="550">
        <f>135/12</f>
        <v>11.25</v>
      </c>
      <c r="AN23" s="260"/>
      <c r="AO23"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23" s="260"/>
      <c r="AQ23" s="538"/>
      <c r="AR23" s="26">
        <v>362.4</v>
      </c>
      <c r="AS23" t="s">
        <v>2302</v>
      </c>
      <c r="AT23" t="s">
        <v>2303</v>
      </c>
      <c r="AU23"/>
      <c r="AV23"/>
      <c r="AW23">
        <v>2</v>
      </c>
    </row>
    <row r="24" spans="1:49" ht="16.5" customHeight="1">
      <c r="B24" s="260" t="s">
        <v>1994</v>
      </c>
      <c r="C24" s="260" t="s">
        <v>1995</v>
      </c>
      <c r="D24">
        <v>0.53900000000000003</v>
      </c>
      <c r="E24">
        <v>0.53900000000000003</v>
      </c>
      <c r="F24" s="36">
        <v>0.5</v>
      </c>
      <c r="G24" s="36">
        <v>0.5</v>
      </c>
      <c r="H24" s="36">
        <v>0.5</v>
      </c>
      <c r="I24" s="528"/>
      <c r="L24" s="260" t="s">
        <v>1840</v>
      </c>
      <c r="M24" s="260" t="s">
        <v>1869</v>
      </c>
      <c r="N24" s="548">
        <v>360.5</v>
      </c>
      <c r="O24" s="260" t="s">
        <v>1312</v>
      </c>
      <c r="P24" s="260" t="s">
        <v>849</v>
      </c>
      <c r="Q24" s="260" t="s">
        <v>1315</v>
      </c>
      <c r="R24" s="554" t="s">
        <v>2274</v>
      </c>
      <c r="S24" s="268">
        <v>23</v>
      </c>
      <c r="T24" s="271"/>
      <c r="U24" s="262">
        <v>38.25</v>
      </c>
      <c r="V24" s="572">
        <v>55.38</v>
      </c>
      <c r="W24" s="263">
        <v>3.73E-2</v>
      </c>
      <c r="X24" s="264">
        <v>15</v>
      </c>
      <c r="Y24" s="260"/>
      <c r="Z24" s="264"/>
      <c r="AA24" s="260"/>
      <c r="AB24" s="549"/>
      <c r="AC24" s="36" t="s">
        <v>1338</v>
      </c>
      <c r="AD24"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10.8</v>
      </c>
      <c r="AE24" s="265">
        <v>45658</v>
      </c>
      <c r="AF24" s="269">
        <v>3</v>
      </c>
      <c r="AG24" s="544" t="s">
        <v>820</v>
      </c>
      <c r="AH24" s="260">
        <v>1065</v>
      </c>
      <c r="AI24" s="260"/>
      <c r="AJ24" s="260" t="s">
        <v>1340</v>
      </c>
      <c r="AK24"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14</v>
      </c>
      <c r="AL24" s="550">
        <f>135/12</f>
        <v>11.25</v>
      </c>
      <c r="AM24" s="550">
        <f>240/12</f>
        <v>20</v>
      </c>
      <c r="AN24" s="260"/>
      <c r="AO24"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24" s="260"/>
      <c r="AQ24" s="538"/>
      <c r="AR24" s="26">
        <v>360.4</v>
      </c>
      <c r="AS24" t="s">
        <v>2302</v>
      </c>
      <c r="AT24" t="s">
        <v>2303</v>
      </c>
      <c r="AU24"/>
      <c r="AV24"/>
      <c r="AW24">
        <v>3</v>
      </c>
    </row>
    <row r="25" spans="1:49" ht="16.5" customHeight="1">
      <c r="B25" s="260" t="s">
        <v>2012</v>
      </c>
      <c r="C25" s="260" t="s">
        <v>1339</v>
      </c>
      <c r="D25">
        <v>13</v>
      </c>
      <c r="E25">
        <v>13</v>
      </c>
      <c r="F25" s="36">
        <v>13</v>
      </c>
      <c r="G25" s="36">
        <v>13</v>
      </c>
      <c r="H25" s="36">
        <v>13</v>
      </c>
      <c r="I25" s="528">
        <v>13</v>
      </c>
      <c r="L25" s="260" t="s">
        <v>1841</v>
      </c>
      <c r="M25" s="260" t="s">
        <v>1879</v>
      </c>
      <c r="N25" s="548">
        <v>361.5</v>
      </c>
      <c r="O25" s="260" t="s">
        <v>1313</v>
      </c>
      <c r="P25" s="260" t="s">
        <v>849</v>
      </c>
      <c r="Q25" s="260" t="s">
        <v>1315</v>
      </c>
      <c r="R25" s="554" t="s">
        <v>2274</v>
      </c>
      <c r="S25" s="268">
        <v>10</v>
      </c>
      <c r="T25" s="271"/>
      <c r="U25" s="262">
        <v>10.4</v>
      </c>
      <c r="V25" s="572">
        <v>62.46</v>
      </c>
      <c r="W25" s="263">
        <v>5.5800000000000002E-2</v>
      </c>
      <c r="X25" s="264">
        <v>15</v>
      </c>
      <c r="Y25" s="260"/>
      <c r="Z25" s="264"/>
      <c r="AA25" s="260"/>
      <c r="AB25" s="549"/>
      <c r="AC25" s="36" t="s">
        <v>1338</v>
      </c>
      <c r="AD25"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9.8000000000000007</v>
      </c>
      <c r="AE25" s="265">
        <v>45658</v>
      </c>
      <c r="AF25" s="269">
        <v>4</v>
      </c>
      <c r="AG25" s="544" t="s">
        <v>820</v>
      </c>
      <c r="AH25" s="260">
        <v>1065</v>
      </c>
      <c r="AI25" s="260"/>
      <c r="AJ25" s="260" t="s">
        <v>1340</v>
      </c>
      <c r="AK25"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13</v>
      </c>
      <c r="AL25" s="550">
        <f>240/12</f>
        <v>20</v>
      </c>
      <c r="AM25" s="550">
        <f>760/12</f>
        <v>63.333333333333336</v>
      </c>
      <c r="AN25" s="260"/>
      <c r="AO25"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25" s="260"/>
      <c r="AQ25" s="538"/>
      <c r="AR25" s="26">
        <v>361.4</v>
      </c>
      <c r="AS25" t="s">
        <v>2302</v>
      </c>
      <c r="AT25" t="s">
        <v>2303</v>
      </c>
      <c r="AU25"/>
      <c r="AV25"/>
      <c r="AW25">
        <v>4</v>
      </c>
    </row>
    <row r="26" spans="1:49" ht="16.5" customHeight="1">
      <c r="B26" s="260" t="s">
        <v>2013</v>
      </c>
      <c r="C26" s="260" t="s">
        <v>1340</v>
      </c>
      <c r="D26">
        <v>12.9</v>
      </c>
      <c r="E26">
        <v>12.9</v>
      </c>
      <c r="F26" s="36">
        <v>12.9</v>
      </c>
      <c r="G26" s="36">
        <v>14.6</v>
      </c>
      <c r="H26" s="36">
        <v>14.6</v>
      </c>
      <c r="I26" s="528">
        <v>14.6</v>
      </c>
      <c r="L26" s="260" t="s">
        <v>1842</v>
      </c>
      <c r="M26" s="260" t="s">
        <v>1875</v>
      </c>
      <c r="N26" s="548">
        <v>363.5</v>
      </c>
      <c r="O26" s="260" t="s">
        <v>1311</v>
      </c>
      <c r="P26" s="260" t="s">
        <v>849</v>
      </c>
      <c r="Q26" s="260" t="s">
        <v>1315</v>
      </c>
      <c r="R26" s="554" t="s">
        <v>2274</v>
      </c>
      <c r="S26" s="268">
        <v>20</v>
      </c>
      <c r="T26" s="271"/>
      <c r="U26" s="262">
        <v>23.17</v>
      </c>
      <c r="V26" s="572">
        <v>76.790000000000006</v>
      </c>
      <c r="W26" s="263">
        <v>0.14779999999999999</v>
      </c>
      <c r="X26" s="264">
        <v>15</v>
      </c>
      <c r="Y26" s="260"/>
      <c r="Z26" s="264"/>
      <c r="AA26" s="260"/>
      <c r="AB26" s="549"/>
      <c r="AC26" s="36" t="s">
        <v>1338</v>
      </c>
      <c r="AD26"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9.5</v>
      </c>
      <c r="AE26" s="265">
        <v>45658</v>
      </c>
      <c r="AF26" s="269">
        <v>5</v>
      </c>
      <c r="AG26" s="544" t="s">
        <v>820</v>
      </c>
      <c r="AH26" s="260">
        <v>1065</v>
      </c>
      <c r="AI26" s="260"/>
      <c r="AJ26" s="260" t="s">
        <v>1340</v>
      </c>
      <c r="AK26"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9.6</v>
      </c>
      <c r="AL26" s="550">
        <f>760/12</f>
        <v>63.333333333333336</v>
      </c>
      <c r="AM26" s="550">
        <v>9999</v>
      </c>
      <c r="AN26" s="260"/>
      <c r="AO26"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26" s="260"/>
      <c r="AQ26" s="538"/>
      <c r="AR26" s="26">
        <v>363.4</v>
      </c>
      <c r="AS26" t="s">
        <v>2302</v>
      </c>
      <c r="AT26" t="s">
        <v>2303</v>
      </c>
      <c r="AU26"/>
      <c r="AV26"/>
      <c r="AW26">
        <v>5</v>
      </c>
    </row>
    <row r="27" spans="1:49">
      <c r="B27" s="260" t="s">
        <v>2014</v>
      </c>
      <c r="C27" s="260" t="s">
        <v>1340</v>
      </c>
      <c r="D27">
        <v>12.7</v>
      </c>
      <c r="E27">
        <v>12.7</v>
      </c>
      <c r="F27" s="36">
        <v>12.3</v>
      </c>
      <c r="G27" s="36">
        <v>13.9</v>
      </c>
      <c r="H27" s="36">
        <v>13.9</v>
      </c>
      <c r="I27" s="528">
        <v>13.9</v>
      </c>
      <c r="L27" s="260" t="s">
        <v>1843</v>
      </c>
      <c r="M27" s="260" t="s">
        <v>1872</v>
      </c>
      <c r="N27" s="548">
        <v>370.5</v>
      </c>
      <c r="O27" s="260" t="s">
        <v>1306</v>
      </c>
      <c r="P27" s="260" t="s">
        <v>849</v>
      </c>
      <c r="Q27" s="260" t="s">
        <v>27</v>
      </c>
      <c r="R27" s="554" t="s">
        <v>2273</v>
      </c>
      <c r="S27" s="268">
        <v>25</v>
      </c>
      <c r="T27" s="271"/>
      <c r="U27" s="262">
        <v>106.38</v>
      </c>
      <c r="V27" s="263">
        <v>56.87</v>
      </c>
      <c r="W27" s="263">
        <v>7.4099999999999999E-2</v>
      </c>
      <c r="X27" s="264">
        <v>16</v>
      </c>
      <c r="Y27" s="260" t="s">
        <v>2316</v>
      </c>
      <c r="Z27" s="264">
        <v>15.73</v>
      </c>
      <c r="AA27" s="260" t="s">
        <v>2321</v>
      </c>
      <c r="AB27" s="549"/>
      <c r="AC27" s="36" t="s">
        <v>2220</v>
      </c>
      <c r="AD27"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7.7</v>
      </c>
      <c r="AE27" s="265">
        <v>45658</v>
      </c>
      <c r="AF27" s="269">
        <v>6</v>
      </c>
      <c r="AG27" s="544" t="s">
        <v>820</v>
      </c>
      <c r="AH27" s="260">
        <v>1065</v>
      </c>
      <c r="AI27" s="260">
        <v>1385</v>
      </c>
      <c r="AJ27" s="260" t="s">
        <v>2216</v>
      </c>
      <c r="AK27"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14.3</v>
      </c>
      <c r="AL27" s="550">
        <v>0</v>
      </c>
      <c r="AM27" s="550">
        <f>65/12</f>
        <v>5.416666666666667</v>
      </c>
      <c r="AN27" s="545" t="s">
        <v>2219</v>
      </c>
      <c r="AO27" s="570">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11.180000000000003</v>
      </c>
      <c r="AP27" s="260"/>
      <c r="AQ27" s="538"/>
      <c r="AR27" s="26">
        <v>370.4</v>
      </c>
      <c r="AS27" t="s">
        <v>2302</v>
      </c>
      <c r="AT27" t="s">
        <v>2304</v>
      </c>
      <c r="AU27" t="s">
        <v>2303</v>
      </c>
      <c r="AV27" s="36" t="s">
        <v>2305</v>
      </c>
      <c r="AW27" s="36">
        <v>6</v>
      </c>
    </row>
    <row r="28" spans="1:49">
      <c r="B28" s="260" t="s">
        <v>2015</v>
      </c>
      <c r="C28" s="260" t="s">
        <v>1340</v>
      </c>
      <c r="D28">
        <v>12.3</v>
      </c>
      <c r="E28">
        <v>12.3</v>
      </c>
      <c r="F28" s="36">
        <v>11</v>
      </c>
      <c r="G28" s="36">
        <v>12.7</v>
      </c>
      <c r="H28" s="36">
        <v>12.7</v>
      </c>
      <c r="I28" s="528">
        <v>12.7</v>
      </c>
      <c r="L28" s="260" t="s">
        <v>1844</v>
      </c>
      <c r="M28" s="260" t="s">
        <v>1873</v>
      </c>
      <c r="N28" s="548">
        <v>370.5</v>
      </c>
      <c r="O28" s="260" t="s">
        <v>1306</v>
      </c>
      <c r="P28" s="260" t="s">
        <v>849</v>
      </c>
      <c r="Q28" s="260" t="s">
        <v>27</v>
      </c>
      <c r="R28" s="554" t="s">
        <v>2273</v>
      </c>
      <c r="S28" s="268">
        <v>25</v>
      </c>
      <c r="T28" s="271"/>
      <c r="U28" s="262">
        <v>106.38</v>
      </c>
      <c r="V28" s="263">
        <v>56.87</v>
      </c>
      <c r="W28" s="263">
        <v>7.4099999999999999E-2</v>
      </c>
      <c r="X28" s="264">
        <v>16</v>
      </c>
      <c r="Y28" s="260" t="s">
        <v>2316</v>
      </c>
      <c r="Z28" s="264">
        <v>15.73</v>
      </c>
      <c r="AA28" s="260" t="s">
        <v>2321</v>
      </c>
      <c r="AB28" s="549"/>
      <c r="AC28" s="36" t="s">
        <v>2220</v>
      </c>
      <c r="AD28"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7.7</v>
      </c>
      <c r="AE28" s="265">
        <v>45658</v>
      </c>
      <c r="AF28" s="269">
        <v>7</v>
      </c>
      <c r="AG28" s="544" t="s">
        <v>820</v>
      </c>
      <c r="AH28" s="260">
        <v>1065</v>
      </c>
      <c r="AI28" s="260">
        <v>1385</v>
      </c>
      <c r="AJ28" s="260" t="s">
        <v>2216</v>
      </c>
      <c r="AK28"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13.4</v>
      </c>
      <c r="AL28" s="550">
        <v>0</v>
      </c>
      <c r="AM28" s="550">
        <f>65/12</f>
        <v>5.416666666666667</v>
      </c>
      <c r="AN28" s="545" t="s">
        <v>2219</v>
      </c>
      <c r="AO28" s="570">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11.180000000000003</v>
      </c>
      <c r="AP28" s="260"/>
      <c r="AQ28" s="538"/>
      <c r="AR28" s="26">
        <v>370.4</v>
      </c>
      <c r="AS28" t="s">
        <v>2302</v>
      </c>
      <c r="AT28" t="s">
        <v>2304</v>
      </c>
      <c r="AU28" t="s">
        <v>2303</v>
      </c>
      <c r="AV28" s="36" t="s">
        <v>2305</v>
      </c>
      <c r="AW28" s="36">
        <v>7</v>
      </c>
    </row>
    <row r="29" spans="1:49">
      <c r="B29" s="260"/>
      <c r="C29" s="260"/>
      <c r="D29" s="283" t="s">
        <v>2221</v>
      </c>
      <c r="E29" s="283" t="s">
        <v>2236</v>
      </c>
      <c r="F29" s="283" t="s">
        <v>2235</v>
      </c>
      <c r="G29" s="283" t="s">
        <v>2234</v>
      </c>
      <c r="H29" s="283" t="s">
        <v>2233</v>
      </c>
      <c r="I29" s="283"/>
      <c r="L29" s="260" t="s">
        <v>1845</v>
      </c>
      <c r="M29" s="260" t="s">
        <v>1874</v>
      </c>
      <c r="N29" s="548">
        <v>367.5</v>
      </c>
      <c r="O29" s="260" t="s">
        <v>1309</v>
      </c>
      <c r="P29" s="260" t="s">
        <v>849</v>
      </c>
      <c r="Q29" s="260" t="s">
        <v>27</v>
      </c>
      <c r="R29" s="554" t="s">
        <v>2274</v>
      </c>
      <c r="S29" s="268">
        <v>25</v>
      </c>
      <c r="T29" s="271"/>
      <c r="U29" s="262">
        <v>92.59</v>
      </c>
      <c r="V29" s="263">
        <v>60.24</v>
      </c>
      <c r="W29" s="572">
        <v>6.6299999999999998E-2</v>
      </c>
      <c r="X29" s="264">
        <v>16</v>
      </c>
      <c r="Y29" s="260" t="s">
        <v>2316</v>
      </c>
      <c r="Z29" s="264">
        <v>15.29</v>
      </c>
      <c r="AA29" s="260" t="s">
        <v>2318</v>
      </c>
      <c r="AB29" s="549"/>
      <c r="AC29" s="36" t="s">
        <v>1343</v>
      </c>
      <c r="AD29"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3.4</v>
      </c>
      <c r="AE29" s="265">
        <v>45658</v>
      </c>
      <c r="AF29" s="269">
        <v>8</v>
      </c>
      <c r="AG29" s="340" t="s">
        <v>820</v>
      </c>
      <c r="AH29" s="260">
        <v>1065</v>
      </c>
      <c r="AI29" s="260">
        <v>1385</v>
      </c>
      <c r="AJ29" s="260" t="s">
        <v>1340</v>
      </c>
      <c r="AK29"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13.9</v>
      </c>
      <c r="AL29" s="550">
        <f>65/12</f>
        <v>5.416666666666667</v>
      </c>
      <c r="AM29" s="550">
        <f>135/12</f>
        <v>11.25</v>
      </c>
      <c r="AN29" s="545" t="s">
        <v>1338</v>
      </c>
      <c r="AO29" s="570">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10.8</v>
      </c>
      <c r="AP29" s="260"/>
      <c r="AQ29" s="538"/>
      <c r="AR29" s="26">
        <v>367.4</v>
      </c>
      <c r="AS29" t="s">
        <v>2302</v>
      </c>
      <c r="AT29" t="s">
        <v>2306</v>
      </c>
      <c r="AU29" t="s">
        <v>2303</v>
      </c>
      <c r="AV29" s="36" t="s">
        <v>2305</v>
      </c>
      <c r="AW29" s="36">
        <v>8</v>
      </c>
    </row>
    <row r="30" spans="1:49">
      <c r="L30" s="260" t="s">
        <v>1846</v>
      </c>
      <c r="M30" s="260" t="s">
        <v>1876</v>
      </c>
      <c r="N30" s="548">
        <v>368.5</v>
      </c>
      <c r="O30" s="260" t="s">
        <v>1308</v>
      </c>
      <c r="P30" s="260" t="s">
        <v>849</v>
      </c>
      <c r="Q30" s="260" t="s">
        <v>27</v>
      </c>
      <c r="R30" s="554" t="s">
        <v>2274</v>
      </c>
      <c r="S30" s="268">
        <v>28</v>
      </c>
      <c r="T30" s="271"/>
      <c r="U30" s="262">
        <v>100</v>
      </c>
      <c r="V30" s="263">
        <v>65.790000000000006</v>
      </c>
      <c r="W30" s="572">
        <v>0.74890000000000001</v>
      </c>
      <c r="X30" s="264">
        <v>16</v>
      </c>
      <c r="Y30" s="260" t="s">
        <v>2317</v>
      </c>
      <c r="Z30" s="264">
        <v>14.63</v>
      </c>
      <c r="AA30" s="260" t="s">
        <v>2319</v>
      </c>
      <c r="AB30" s="549"/>
      <c r="AC30" s="36" t="s">
        <v>1343</v>
      </c>
      <c r="AD30"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3.3</v>
      </c>
      <c r="AE30" s="265">
        <v>45658</v>
      </c>
      <c r="AF30" s="269">
        <v>9</v>
      </c>
      <c r="AG30" s="340" t="s">
        <v>820</v>
      </c>
      <c r="AH30" s="260">
        <v>1065</v>
      </c>
      <c r="AI30" s="260">
        <v>1385</v>
      </c>
      <c r="AJ30" s="260" t="s">
        <v>1340</v>
      </c>
      <c r="AK30"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13.3</v>
      </c>
      <c r="AL30" s="550">
        <f>135/12</f>
        <v>11.25</v>
      </c>
      <c r="AM30" s="550">
        <f>240/12</f>
        <v>20</v>
      </c>
      <c r="AN30" s="545" t="s">
        <v>1338</v>
      </c>
      <c r="AO30" s="570">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10.4</v>
      </c>
      <c r="AP30" s="260"/>
      <c r="AQ30" s="538"/>
      <c r="AR30" s="26">
        <v>368.4</v>
      </c>
      <c r="AS30" t="s">
        <v>2302</v>
      </c>
      <c r="AT30" t="s">
        <v>2306</v>
      </c>
      <c r="AU30" t="s">
        <v>2303</v>
      </c>
      <c r="AV30" s="36" t="s">
        <v>2305</v>
      </c>
      <c r="AW30" s="36">
        <v>9</v>
      </c>
    </row>
    <row r="31" spans="1:49">
      <c r="A31" s="568" t="s">
        <v>30</v>
      </c>
      <c r="B31" s="508" t="s">
        <v>798</v>
      </c>
      <c r="C31" s="508" t="s">
        <v>1678</v>
      </c>
      <c r="D31" s="508" t="s">
        <v>302</v>
      </c>
      <c r="E31" s="508" t="s">
        <v>303</v>
      </c>
      <c r="F31" s="508" t="s">
        <v>304</v>
      </c>
      <c r="G31" s="508" t="s">
        <v>1152</v>
      </c>
      <c r="H31" s="272" t="s">
        <v>2213</v>
      </c>
      <c r="I31" s="528" t="s">
        <v>2330</v>
      </c>
      <c r="L31" s="260" t="s">
        <v>1847</v>
      </c>
      <c r="M31" s="260" t="s">
        <v>1890</v>
      </c>
      <c r="N31" s="548">
        <v>369.5</v>
      </c>
      <c r="O31" s="260" t="s">
        <v>1307</v>
      </c>
      <c r="P31" s="260" t="s">
        <v>849</v>
      </c>
      <c r="Q31" s="260" t="s">
        <v>27</v>
      </c>
      <c r="R31" s="554" t="s">
        <v>2274</v>
      </c>
      <c r="S31" s="262">
        <v>28</v>
      </c>
      <c r="T31" s="271"/>
      <c r="U31" s="262">
        <v>107.53</v>
      </c>
      <c r="V31" s="263">
        <v>76.981999999999999</v>
      </c>
      <c r="W31" s="572">
        <v>8.7099999999999997E-2</v>
      </c>
      <c r="X31" s="264">
        <v>16</v>
      </c>
      <c r="Y31" s="260" t="s">
        <v>2317</v>
      </c>
      <c r="Z31" s="264">
        <v>13.53</v>
      </c>
      <c r="AA31" s="260" t="s">
        <v>2320</v>
      </c>
      <c r="AB31" s="549"/>
      <c r="AC31" s="36" t="s">
        <v>1343</v>
      </c>
      <c r="AD31"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3.2</v>
      </c>
      <c r="AE31" s="265">
        <v>45658</v>
      </c>
      <c r="AF31" s="269">
        <v>10</v>
      </c>
      <c r="AG31" s="340" t="s">
        <v>820</v>
      </c>
      <c r="AH31" s="260">
        <v>1065</v>
      </c>
      <c r="AI31" s="260">
        <v>1385</v>
      </c>
      <c r="AJ31" s="260" t="s">
        <v>1340</v>
      </c>
      <c r="AK31"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12.3</v>
      </c>
      <c r="AL31" s="550">
        <f>240/12</f>
        <v>20</v>
      </c>
      <c r="AM31" s="550">
        <v>9999</v>
      </c>
      <c r="AN31" s="545" t="s">
        <v>1338</v>
      </c>
      <c r="AO31" s="570">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9.3000000000000007</v>
      </c>
      <c r="AP31" s="260"/>
      <c r="AQ31" s="538"/>
      <c r="AR31" s="26">
        <v>369.4</v>
      </c>
      <c r="AS31" t="s">
        <v>2302</v>
      </c>
      <c r="AT31" t="s">
        <v>2306</v>
      </c>
      <c r="AU31" t="s">
        <v>2303</v>
      </c>
      <c r="AV31" s="36" t="s">
        <v>2305</v>
      </c>
      <c r="AW31" s="36">
        <v>10</v>
      </c>
    </row>
    <row r="32" spans="1:49">
      <c r="B32" s="270" t="s">
        <v>1871</v>
      </c>
      <c r="C32" s="523" t="str">
        <f ca="1">IF(NEWCONCODE="IECC 2021", "EER2", "EER")</f>
        <v>EER</v>
      </c>
      <c r="D32" s="523">
        <f>1.12*13-0.02*13^2</f>
        <v>11.180000000000003</v>
      </c>
      <c r="E32" s="523">
        <v>0</v>
      </c>
      <c r="F32" s="523">
        <v>0</v>
      </c>
      <c r="G32" s="523">
        <v>0</v>
      </c>
      <c r="H32" s="523">
        <v>0</v>
      </c>
      <c r="I32" s="528"/>
      <c r="J32" s="523" t="s">
        <v>2219</v>
      </c>
      <c r="L32" s="260" t="s">
        <v>2020</v>
      </c>
      <c r="M32" s="260" t="s">
        <v>1983</v>
      </c>
      <c r="N32" s="551">
        <v>511.3</v>
      </c>
      <c r="O32" s="260" t="s">
        <v>1983</v>
      </c>
      <c r="P32" s="260" t="s">
        <v>849</v>
      </c>
      <c r="Q32" s="260" t="s">
        <v>1315</v>
      </c>
      <c r="R32" s="554" t="s">
        <v>2275</v>
      </c>
      <c r="S32" s="262">
        <v>30</v>
      </c>
      <c r="T32" s="271"/>
      <c r="U32" s="262">
        <v>214.87</v>
      </c>
      <c r="V32" s="263">
        <v>46.539700000000003</v>
      </c>
      <c r="W32" s="263">
        <v>6.5000000000000002E-2</v>
      </c>
      <c r="X32" s="553">
        <v>23</v>
      </c>
      <c r="Y32" s="260" t="s">
        <v>2278</v>
      </c>
      <c r="Z32" s="264">
        <v>17.38</v>
      </c>
      <c r="AA32" s="260" t="s">
        <v>2281</v>
      </c>
      <c r="AB32" s="549">
        <v>13.05</v>
      </c>
      <c r="AC32" s="548" t="s">
        <v>2322</v>
      </c>
      <c r="AD32"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9.5619999999999994</v>
      </c>
      <c r="AE32" s="265">
        <v>45658</v>
      </c>
      <c r="AF32" s="269">
        <v>11</v>
      </c>
      <c r="AG32" s="340" t="s">
        <v>820</v>
      </c>
      <c r="AH32" s="260">
        <v>1065</v>
      </c>
      <c r="AI32" s="260"/>
      <c r="AJ32" s="260" t="s">
        <v>2289</v>
      </c>
      <c r="AK32"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12.5</v>
      </c>
      <c r="AL32" s="550">
        <v>0</v>
      </c>
      <c r="AM32" s="550">
        <v>149.99</v>
      </c>
      <c r="AN32" s="562"/>
      <c r="AO32"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32" s="260"/>
      <c r="AQ32" s="538"/>
      <c r="AR32" s="26">
        <v>511.2</v>
      </c>
      <c r="AS32" t="s">
        <v>2302</v>
      </c>
      <c r="AT32" t="s">
        <v>2303</v>
      </c>
      <c r="AU32"/>
      <c r="AV32"/>
      <c r="AW32">
        <v>11</v>
      </c>
    </row>
    <row r="33" spans="2:49">
      <c r="B33" s="260" t="s">
        <v>1870</v>
      </c>
      <c r="C33" s="36" t="s">
        <v>1338</v>
      </c>
      <c r="D33" s="36">
        <v>11</v>
      </c>
      <c r="E33" s="36">
        <v>11</v>
      </c>
      <c r="F33" s="36">
        <v>11</v>
      </c>
      <c r="G33" s="36">
        <v>11</v>
      </c>
      <c r="H33" s="36">
        <v>11</v>
      </c>
      <c r="I33" s="528">
        <v>11</v>
      </c>
      <c r="L33" s="260" t="s">
        <v>2021</v>
      </c>
      <c r="M33" s="260" t="s">
        <v>1984</v>
      </c>
      <c r="N33" s="551">
        <v>512.29999999999995</v>
      </c>
      <c r="O33" s="260" t="s">
        <v>1984</v>
      </c>
      <c r="P33" s="260" t="s">
        <v>849</v>
      </c>
      <c r="Q33" s="260" t="s">
        <v>1315</v>
      </c>
      <c r="R33" s="554" t="s">
        <v>2275</v>
      </c>
      <c r="S33" s="262">
        <v>32</v>
      </c>
      <c r="T33" s="271"/>
      <c r="U33" s="262">
        <v>59.83</v>
      </c>
      <c r="V33" s="263">
        <v>44.8215</v>
      </c>
      <c r="W33" s="263">
        <v>6.3799999999999996E-2</v>
      </c>
      <c r="X33" s="553">
        <v>23</v>
      </c>
      <c r="Y33" s="260" t="s">
        <v>2278</v>
      </c>
      <c r="Z33" s="264">
        <v>17.71</v>
      </c>
      <c r="AA33" s="260" t="s">
        <v>2281</v>
      </c>
      <c r="AB33" s="549">
        <v>13.33</v>
      </c>
      <c r="AC33" s="548" t="s">
        <v>2322</v>
      </c>
      <c r="AD33"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9.5619999999999994</v>
      </c>
      <c r="AE33" s="265">
        <v>45658</v>
      </c>
      <c r="AF33" s="269">
        <v>12</v>
      </c>
      <c r="AG33" s="340" t="s">
        <v>820</v>
      </c>
      <c r="AH33" s="260">
        <v>1065</v>
      </c>
      <c r="AI33" s="260"/>
      <c r="AJ33" s="260" t="s">
        <v>2289</v>
      </c>
      <c r="AK33"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12.75</v>
      </c>
      <c r="AL33" s="550">
        <v>150</v>
      </c>
      <c r="AM33" s="550">
        <v>9999</v>
      </c>
      <c r="AN33" s="562"/>
      <c r="AO33"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33" s="260"/>
      <c r="AQ33" s="538"/>
      <c r="AR33" s="26">
        <v>512.20000000000005</v>
      </c>
      <c r="AS33" t="s">
        <v>2302</v>
      </c>
      <c r="AT33" t="s">
        <v>2303</v>
      </c>
      <c r="AU33"/>
      <c r="AV33"/>
      <c r="AW33">
        <v>12</v>
      </c>
    </row>
    <row r="34" spans="2:49" ht="30">
      <c r="B34" s="260" t="s">
        <v>1869</v>
      </c>
      <c r="C34" s="36" t="s">
        <v>1338</v>
      </c>
      <c r="D34" s="36">
        <v>10.8</v>
      </c>
      <c r="E34" s="36">
        <v>10.8</v>
      </c>
      <c r="F34" s="36">
        <v>10.8</v>
      </c>
      <c r="G34" s="36">
        <v>10.8</v>
      </c>
      <c r="H34" s="36">
        <v>10.8</v>
      </c>
      <c r="I34" s="528">
        <v>10.8</v>
      </c>
      <c r="L34" s="260" t="s">
        <v>2022</v>
      </c>
      <c r="M34" s="260" t="s">
        <v>1996</v>
      </c>
      <c r="N34" s="551">
        <v>513.29999999999995</v>
      </c>
      <c r="O34" s="260" t="s">
        <v>1985</v>
      </c>
      <c r="P34" s="260" t="s">
        <v>849</v>
      </c>
      <c r="Q34" s="260" t="s">
        <v>1315</v>
      </c>
      <c r="R34" s="554" t="s">
        <v>2276</v>
      </c>
      <c r="S34" s="262">
        <v>470</v>
      </c>
      <c r="T34" s="271"/>
      <c r="U34" s="40">
        <v>2316.67</v>
      </c>
      <c r="V34" s="572">
        <v>1065</v>
      </c>
      <c r="W34" s="572">
        <v>1.1413</v>
      </c>
      <c r="X34" s="553">
        <v>23</v>
      </c>
      <c r="Y34" s="260" t="s">
        <v>2279</v>
      </c>
      <c r="Z34" s="574">
        <v>0.66</v>
      </c>
      <c r="AA34" s="260" t="s">
        <v>2282</v>
      </c>
      <c r="AB34" s="549">
        <v>0.61599999999999999</v>
      </c>
      <c r="AC34" s="548" t="s">
        <v>2323</v>
      </c>
      <c r="AD34"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0.78</v>
      </c>
      <c r="AE34" s="265">
        <v>45658</v>
      </c>
      <c r="AF34" s="269">
        <v>13</v>
      </c>
      <c r="AG34" s="340" t="s">
        <v>820</v>
      </c>
      <c r="AH34" s="260">
        <v>1065</v>
      </c>
      <c r="AI34" s="260"/>
      <c r="AJ34" s="260" t="s">
        <v>2290</v>
      </c>
      <c r="AK34"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0.63</v>
      </c>
      <c r="AL34" s="550">
        <v>0</v>
      </c>
      <c r="AM34" s="550">
        <v>74.989999999999995</v>
      </c>
      <c r="AN34" s="260"/>
      <c r="AO34"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34" s="260"/>
      <c r="AQ34" s="538"/>
      <c r="AR34" s="26">
        <v>513.20000000000005</v>
      </c>
      <c r="AS34" t="s">
        <v>2302</v>
      </c>
      <c r="AT34" t="s">
        <v>2303</v>
      </c>
      <c r="AU34"/>
      <c r="AV34"/>
      <c r="AW34">
        <v>13</v>
      </c>
    </row>
    <row r="35" spans="2:49" ht="30">
      <c r="B35" s="260" t="s">
        <v>1879</v>
      </c>
      <c r="C35" s="36" t="s">
        <v>1338</v>
      </c>
      <c r="D35" s="36">
        <v>9.5</v>
      </c>
      <c r="E35" s="36">
        <v>9.8000000000000007</v>
      </c>
      <c r="F35" s="36">
        <v>9.8000000000000007</v>
      </c>
      <c r="G35" s="36">
        <v>9.8000000000000007</v>
      </c>
      <c r="H35" s="36">
        <v>9.8000000000000007</v>
      </c>
      <c r="I35" s="528">
        <v>9.8000000000000007</v>
      </c>
      <c r="L35" s="260" t="s">
        <v>2023</v>
      </c>
      <c r="M35" s="260" t="s">
        <v>2004</v>
      </c>
      <c r="N35" s="551">
        <v>514.29999999999995</v>
      </c>
      <c r="O35" s="260" t="s">
        <v>1986</v>
      </c>
      <c r="P35" s="260" t="s">
        <v>849</v>
      </c>
      <c r="Q35" s="260" t="s">
        <v>1315</v>
      </c>
      <c r="R35" s="554" t="s">
        <v>2276</v>
      </c>
      <c r="S35" s="262">
        <v>450</v>
      </c>
      <c r="T35" s="271"/>
      <c r="U35" s="40">
        <v>1392.86</v>
      </c>
      <c r="V35" s="572">
        <v>1065</v>
      </c>
      <c r="W35" s="572">
        <v>1.1738999999999999</v>
      </c>
      <c r="X35" s="553">
        <v>23</v>
      </c>
      <c r="Y35" s="260" t="s">
        <v>2279</v>
      </c>
      <c r="Z35" s="574">
        <v>0.61599999999999999</v>
      </c>
      <c r="AA35" s="260" t="s">
        <v>2282</v>
      </c>
      <c r="AB35" s="549">
        <v>0.59</v>
      </c>
      <c r="AC35" s="548" t="s">
        <v>2323</v>
      </c>
      <c r="AD35"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0.77500000000000002</v>
      </c>
      <c r="AE35" s="265">
        <v>45658</v>
      </c>
      <c r="AF35" s="269">
        <v>14</v>
      </c>
      <c r="AG35" s="340" t="s">
        <v>820</v>
      </c>
      <c r="AH35" s="260">
        <v>1065</v>
      </c>
      <c r="AI35" s="260"/>
      <c r="AJ35" s="260" t="s">
        <v>2290</v>
      </c>
      <c r="AK35"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0.61499999999999999</v>
      </c>
      <c r="AL35" s="550">
        <v>75</v>
      </c>
      <c r="AM35" s="550">
        <v>149.99</v>
      </c>
      <c r="AN35" s="260"/>
      <c r="AO35"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35" s="260"/>
      <c r="AQ35" s="538"/>
      <c r="AR35" s="26">
        <v>514.20000000000005</v>
      </c>
      <c r="AS35" t="s">
        <v>2302</v>
      </c>
      <c r="AT35" t="s">
        <v>2303</v>
      </c>
      <c r="AU35"/>
      <c r="AV35"/>
      <c r="AW35">
        <v>14</v>
      </c>
    </row>
    <row r="36" spans="2:49" ht="30">
      <c r="B36" s="260" t="s">
        <v>1875</v>
      </c>
      <c r="C36" s="36" t="s">
        <v>1338</v>
      </c>
      <c r="D36" s="36">
        <v>9.1999999999999993</v>
      </c>
      <c r="E36" s="36">
        <v>9.5</v>
      </c>
      <c r="F36" s="36">
        <v>9.5</v>
      </c>
      <c r="G36" s="36">
        <v>9.5</v>
      </c>
      <c r="H36" s="36">
        <v>9.5</v>
      </c>
      <c r="I36" s="528"/>
      <c r="L36" s="260" t="s">
        <v>2024</v>
      </c>
      <c r="M36" s="260" t="s">
        <v>2005</v>
      </c>
      <c r="N36" s="551">
        <v>515.29999999999995</v>
      </c>
      <c r="O36" s="260" t="s">
        <v>1987</v>
      </c>
      <c r="P36" s="260" t="s">
        <v>849</v>
      </c>
      <c r="Q36" s="260" t="s">
        <v>1315</v>
      </c>
      <c r="R36" s="554" t="s">
        <v>2276</v>
      </c>
      <c r="S36" s="262">
        <v>400</v>
      </c>
      <c r="T36" s="271"/>
      <c r="U36" s="40">
        <v>1694.44</v>
      </c>
      <c r="V36" s="572">
        <v>1065</v>
      </c>
      <c r="W36" s="572">
        <v>1.1158999999999999</v>
      </c>
      <c r="X36" s="553">
        <v>23</v>
      </c>
      <c r="Y36" s="260" t="s">
        <v>2279</v>
      </c>
      <c r="Z36" s="574">
        <v>0.59399999999999997</v>
      </c>
      <c r="AA36" s="260" t="s">
        <v>2282</v>
      </c>
      <c r="AB36" s="549">
        <v>0.56200000000000006</v>
      </c>
      <c r="AC36" s="548" t="s">
        <v>2323</v>
      </c>
      <c r="AD36"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0.68</v>
      </c>
      <c r="AE36" s="265">
        <v>45658</v>
      </c>
      <c r="AF36" s="269">
        <v>15</v>
      </c>
      <c r="AG36" s="340" t="s">
        <v>820</v>
      </c>
      <c r="AH36" s="260">
        <v>1065</v>
      </c>
      <c r="AI36" s="260"/>
      <c r="AJ36" s="260" t="s">
        <v>2290</v>
      </c>
      <c r="AK36"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0.57999999999999996</v>
      </c>
      <c r="AL36" s="550">
        <v>150</v>
      </c>
      <c r="AM36" s="550">
        <v>299.99</v>
      </c>
      <c r="AN36" s="260"/>
      <c r="AO36"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36" s="260"/>
      <c r="AQ36" s="538"/>
      <c r="AR36" s="26">
        <v>515.20000000000005</v>
      </c>
      <c r="AS36" t="s">
        <v>2302</v>
      </c>
      <c r="AT36" t="s">
        <v>2303</v>
      </c>
      <c r="AU36"/>
      <c r="AV36"/>
      <c r="AW36">
        <v>15</v>
      </c>
    </row>
    <row r="37" spans="2:49" ht="30">
      <c r="B37" s="260" t="s">
        <v>1872</v>
      </c>
      <c r="C37" s="523" t="str">
        <f ca="1">IF(NEWCONCODE="IECC 2021", "HSPF2", "HSPF")</f>
        <v>HSPF</v>
      </c>
      <c r="D37" s="36">
        <v>7.7</v>
      </c>
      <c r="E37" s="36">
        <v>7.7</v>
      </c>
      <c r="F37" s="36">
        <v>8.1999999999999993</v>
      </c>
      <c r="G37" s="36">
        <v>8.1999999999999993</v>
      </c>
      <c r="H37" s="523">
        <v>7.5</v>
      </c>
      <c r="I37" s="528">
        <v>7.5</v>
      </c>
      <c r="J37" s="523" t="s">
        <v>2220</v>
      </c>
      <c r="L37" s="260" t="s">
        <v>2025</v>
      </c>
      <c r="M37" s="260" t="s">
        <v>2009</v>
      </c>
      <c r="N37" s="551">
        <v>516.29999999999995</v>
      </c>
      <c r="O37" s="260" t="s">
        <v>1988</v>
      </c>
      <c r="P37" s="260" t="s">
        <v>849</v>
      </c>
      <c r="Q37" s="260" t="s">
        <v>1315</v>
      </c>
      <c r="R37" s="554" t="s">
        <v>2276</v>
      </c>
      <c r="S37" s="262">
        <v>300</v>
      </c>
      <c r="T37" s="271"/>
      <c r="U37" s="40">
        <v>307.69</v>
      </c>
      <c r="V37" s="572">
        <v>1065</v>
      </c>
      <c r="W37" s="572">
        <v>1.071</v>
      </c>
      <c r="X37" s="553">
        <v>23</v>
      </c>
      <c r="Y37" s="260" t="s">
        <v>2279</v>
      </c>
      <c r="Z37" s="264">
        <v>0.57199999999999995</v>
      </c>
      <c r="AA37" s="260" t="s">
        <v>2282</v>
      </c>
      <c r="AB37" s="549">
        <v>0.53100000000000003</v>
      </c>
      <c r="AC37" s="548" t="s">
        <v>2323</v>
      </c>
      <c r="AD37"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0.62</v>
      </c>
      <c r="AE37" s="265">
        <v>45658</v>
      </c>
      <c r="AF37" s="269">
        <v>16</v>
      </c>
      <c r="AG37" s="340" t="s">
        <v>820</v>
      </c>
      <c r="AH37" s="260">
        <v>1065</v>
      </c>
      <c r="AI37" s="260"/>
      <c r="AJ37" s="260" t="s">
        <v>2290</v>
      </c>
      <c r="AK37"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0.54</v>
      </c>
      <c r="AL37" s="550">
        <v>300</v>
      </c>
      <c r="AM37" s="550">
        <v>599.99</v>
      </c>
      <c r="AN37" s="260"/>
      <c r="AO37"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37" s="260"/>
      <c r="AQ37" s="538"/>
      <c r="AR37" s="26">
        <v>516.20000000000005</v>
      </c>
      <c r="AS37" t="s">
        <v>2302</v>
      </c>
      <c r="AT37" t="s">
        <v>2303</v>
      </c>
      <c r="AU37"/>
      <c r="AV37"/>
      <c r="AW37">
        <v>16</v>
      </c>
    </row>
    <row r="38" spans="2:49" ht="30">
      <c r="B38" s="260" t="s">
        <v>1873</v>
      </c>
      <c r="C38" s="523" t="str">
        <f ca="1">IF(NEWCONCODE="IECC 2021", "HSPF2", "HSPF")</f>
        <v>HSPF</v>
      </c>
      <c r="D38" s="36">
        <v>7.7</v>
      </c>
      <c r="E38" s="36">
        <v>7.7</v>
      </c>
      <c r="F38" s="36">
        <v>8</v>
      </c>
      <c r="G38" s="36">
        <v>8</v>
      </c>
      <c r="H38" s="523">
        <v>6.7</v>
      </c>
      <c r="I38" s="528">
        <v>6.7</v>
      </c>
      <c r="J38" s="523" t="s">
        <v>2220</v>
      </c>
      <c r="L38" s="260" t="s">
        <v>2026</v>
      </c>
      <c r="M38" s="260" t="s">
        <v>2010</v>
      </c>
      <c r="N38" s="548">
        <v>516.29999999999995</v>
      </c>
      <c r="O38" s="260" t="s">
        <v>1988</v>
      </c>
      <c r="P38" s="260" t="s">
        <v>849</v>
      </c>
      <c r="Q38" s="260" t="s">
        <v>1315</v>
      </c>
      <c r="R38" s="554" t="s">
        <v>2276</v>
      </c>
      <c r="S38" s="262">
        <v>300</v>
      </c>
      <c r="T38" s="271"/>
      <c r="U38" s="262">
        <v>307.69</v>
      </c>
      <c r="V38" s="263">
        <v>1065</v>
      </c>
      <c r="W38" s="263">
        <v>1.071</v>
      </c>
      <c r="X38" s="553">
        <v>23</v>
      </c>
      <c r="Y38" s="260" t="s">
        <v>2279</v>
      </c>
      <c r="Z38" s="264">
        <v>0.57199999999999995</v>
      </c>
      <c r="AA38" s="260" t="s">
        <v>2282</v>
      </c>
      <c r="AB38" s="549">
        <v>0.53100000000000003</v>
      </c>
      <c r="AC38" s="548" t="s">
        <v>2323</v>
      </c>
      <c r="AD38"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0.62</v>
      </c>
      <c r="AE38" s="265">
        <v>45658</v>
      </c>
      <c r="AF38" s="269">
        <v>17</v>
      </c>
      <c r="AG38" s="340" t="s">
        <v>820</v>
      </c>
      <c r="AH38" s="260">
        <v>1065</v>
      </c>
      <c r="AI38" s="260"/>
      <c r="AJ38" s="260" t="s">
        <v>2290</v>
      </c>
      <c r="AK38"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0.54</v>
      </c>
      <c r="AL38" s="550">
        <v>600</v>
      </c>
      <c r="AM38" s="550">
        <v>9999</v>
      </c>
      <c r="AN38" s="260"/>
      <c r="AO38"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38" s="260"/>
      <c r="AQ38" s="538"/>
      <c r="AR38" s="26">
        <v>516.20000000000005</v>
      </c>
      <c r="AS38" t="s">
        <v>2302</v>
      </c>
      <c r="AT38" t="s">
        <v>2303</v>
      </c>
      <c r="AU38"/>
      <c r="AV38"/>
      <c r="AW38">
        <v>17</v>
      </c>
    </row>
    <row r="39" spans="2:49" ht="30">
      <c r="B39" s="260" t="s">
        <v>1874</v>
      </c>
      <c r="C39" s="36" t="s">
        <v>1343</v>
      </c>
      <c r="D39" s="36">
        <v>3.3</v>
      </c>
      <c r="E39" s="36">
        <v>3.3</v>
      </c>
      <c r="F39" s="36">
        <v>3.3</v>
      </c>
      <c r="G39" s="36">
        <v>3.3</v>
      </c>
      <c r="H39" s="36">
        <v>3.4</v>
      </c>
      <c r="I39" s="528">
        <v>3.4</v>
      </c>
      <c r="L39" s="260" t="s">
        <v>2027</v>
      </c>
      <c r="M39" s="260" t="s">
        <v>1993</v>
      </c>
      <c r="N39" s="551">
        <v>517.29999999999995</v>
      </c>
      <c r="O39" s="260" t="s">
        <v>1989</v>
      </c>
      <c r="P39" s="260" t="s">
        <v>849</v>
      </c>
      <c r="Q39" s="260" t="s">
        <v>1315</v>
      </c>
      <c r="R39" s="554" t="s">
        <v>2276</v>
      </c>
      <c r="S39" s="262">
        <v>450</v>
      </c>
      <c r="T39" s="271"/>
      <c r="U39" s="40">
        <v>1127.27</v>
      </c>
      <c r="V39" s="263">
        <v>1065</v>
      </c>
      <c r="W39" s="572">
        <v>1.0125999999999999</v>
      </c>
      <c r="X39" s="553">
        <v>23</v>
      </c>
      <c r="Y39" s="260" t="s">
        <v>2279</v>
      </c>
      <c r="Z39" s="264">
        <v>0.60499999999999998</v>
      </c>
      <c r="AA39" s="260" t="s">
        <v>2282</v>
      </c>
      <c r="AB39" s="549">
        <v>0.57499999999999996</v>
      </c>
      <c r="AC39" s="548" t="s">
        <v>2323</v>
      </c>
      <c r="AD39"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0.63400000000000001</v>
      </c>
      <c r="AE39" s="265">
        <v>45658</v>
      </c>
      <c r="AF39" s="269">
        <v>18</v>
      </c>
      <c r="AG39" s="340" t="s">
        <v>820</v>
      </c>
      <c r="AH39" s="260">
        <v>1065</v>
      </c>
      <c r="AI39" s="260"/>
      <c r="AJ39" s="260" t="s">
        <v>2290</v>
      </c>
      <c r="AK39"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0.59599999999999997</v>
      </c>
      <c r="AL39" s="550">
        <v>0</v>
      </c>
      <c r="AM39" s="550">
        <v>149.99</v>
      </c>
      <c r="AN39" s="260"/>
      <c r="AO39"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39" s="260"/>
      <c r="AQ39" s="538"/>
      <c r="AR39" s="26">
        <v>517.20000000000005</v>
      </c>
      <c r="AS39" t="s">
        <v>2302</v>
      </c>
      <c r="AT39" t="s">
        <v>2303</v>
      </c>
      <c r="AU39"/>
      <c r="AV39"/>
      <c r="AW39">
        <v>18</v>
      </c>
    </row>
    <row r="40" spans="2:49" ht="30">
      <c r="B40" s="260" t="s">
        <v>1876</v>
      </c>
      <c r="C40" s="36" t="s">
        <v>1343</v>
      </c>
      <c r="D40" s="36">
        <v>3.2</v>
      </c>
      <c r="E40" s="36">
        <v>3.2</v>
      </c>
      <c r="F40" s="36">
        <v>3.2</v>
      </c>
      <c r="G40" s="36">
        <v>3.2</v>
      </c>
      <c r="H40" s="36">
        <v>3.3</v>
      </c>
      <c r="I40" s="528">
        <v>3.3</v>
      </c>
      <c r="L40" s="260" t="s">
        <v>2028</v>
      </c>
      <c r="M40" s="260" t="s">
        <v>2006</v>
      </c>
      <c r="N40" s="551">
        <v>518.29999999999995</v>
      </c>
      <c r="O40" s="260" t="s">
        <v>1990</v>
      </c>
      <c r="P40" s="260" t="s">
        <v>849</v>
      </c>
      <c r="Q40" s="260" t="s">
        <v>1315</v>
      </c>
      <c r="R40" s="554" t="s">
        <v>2276</v>
      </c>
      <c r="S40" s="262">
        <v>400</v>
      </c>
      <c r="T40" s="271"/>
      <c r="U40" s="40">
        <v>663.64</v>
      </c>
      <c r="V40" s="263">
        <v>1065</v>
      </c>
      <c r="W40" s="572">
        <v>1.0125999999999999</v>
      </c>
      <c r="X40" s="553">
        <v>23</v>
      </c>
      <c r="Y40" s="260" t="s">
        <v>2279</v>
      </c>
      <c r="Z40" s="264">
        <v>0.60499999999999998</v>
      </c>
      <c r="AA40" s="260" t="s">
        <v>2282</v>
      </c>
      <c r="AB40" s="549">
        <v>0.57499999999999996</v>
      </c>
      <c r="AC40" s="548" t="s">
        <v>2323</v>
      </c>
      <c r="AD40"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0.63400000000000001</v>
      </c>
      <c r="AE40" s="265">
        <v>45658</v>
      </c>
      <c r="AF40" s="269">
        <v>19</v>
      </c>
      <c r="AG40" s="340" t="s">
        <v>820</v>
      </c>
      <c r="AH40" s="260">
        <v>1065</v>
      </c>
      <c r="AI40" s="260"/>
      <c r="AJ40" s="260" t="s">
        <v>2290</v>
      </c>
      <c r="AK40"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0.59599999999999997</v>
      </c>
      <c r="AL40" s="550">
        <v>150</v>
      </c>
      <c r="AM40" s="550">
        <v>299.99</v>
      </c>
      <c r="AN40" s="260"/>
      <c r="AO40"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40" s="260"/>
      <c r="AQ40" s="538"/>
      <c r="AR40" s="26">
        <v>518.20000000000005</v>
      </c>
      <c r="AS40" t="s">
        <v>2302</v>
      </c>
      <c r="AT40" t="s">
        <v>2303</v>
      </c>
      <c r="AU40"/>
      <c r="AV40"/>
      <c r="AW40">
        <v>19</v>
      </c>
    </row>
    <row r="41" spans="2:49" ht="30">
      <c r="B41" s="260" t="s">
        <v>1890</v>
      </c>
      <c r="C41" s="36" t="s">
        <v>1343</v>
      </c>
      <c r="D41" s="36">
        <v>3.2</v>
      </c>
      <c r="E41" s="36">
        <v>3.2</v>
      </c>
      <c r="F41" s="36">
        <v>3.2</v>
      </c>
      <c r="G41" s="36">
        <v>3.2</v>
      </c>
      <c r="H41" s="36">
        <v>3.2</v>
      </c>
      <c r="I41" s="528">
        <v>3.2</v>
      </c>
      <c r="L41" s="260" t="s">
        <v>2029</v>
      </c>
      <c r="M41" s="260" t="s">
        <v>2007</v>
      </c>
      <c r="N41" s="551">
        <v>519.29999999999995</v>
      </c>
      <c r="O41" s="260" t="s">
        <v>1991</v>
      </c>
      <c r="P41" s="260" t="s">
        <v>849</v>
      </c>
      <c r="Q41" s="260" t="s">
        <v>1315</v>
      </c>
      <c r="R41" s="554" t="s">
        <v>2276</v>
      </c>
      <c r="S41" s="262">
        <v>400</v>
      </c>
      <c r="T41" s="271"/>
      <c r="U41" s="40">
        <v>747.57</v>
      </c>
      <c r="V41" s="263">
        <v>1065</v>
      </c>
      <c r="W41" s="572">
        <v>0.99280000000000002</v>
      </c>
      <c r="X41" s="553">
        <v>23</v>
      </c>
      <c r="Y41" s="260" t="s">
        <v>2279</v>
      </c>
      <c r="Z41" s="264">
        <v>0.56699999999999995</v>
      </c>
      <c r="AA41" s="260" t="s">
        <v>2282</v>
      </c>
      <c r="AB41" s="549">
        <v>0.53600000000000003</v>
      </c>
      <c r="AC41" s="548" t="s">
        <v>2323</v>
      </c>
      <c r="AD41"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0.57599999999999996</v>
      </c>
      <c r="AE41" s="265">
        <v>45658</v>
      </c>
      <c r="AF41" s="269">
        <v>20</v>
      </c>
      <c r="AG41" s="340" t="s">
        <v>820</v>
      </c>
      <c r="AH41" s="260">
        <v>1065</v>
      </c>
      <c r="AI41" s="260"/>
      <c r="AJ41" s="260" t="s">
        <v>2290</v>
      </c>
      <c r="AK41"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0.54900000000000004</v>
      </c>
      <c r="AL41" s="550">
        <v>300</v>
      </c>
      <c r="AM41" s="550">
        <v>399.99</v>
      </c>
      <c r="AN41" s="260"/>
      <c r="AO41"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41" s="260"/>
      <c r="AQ41" s="538"/>
      <c r="AR41" s="26">
        <v>519.20000000000005</v>
      </c>
      <c r="AS41" t="s">
        <v>2302</v>
      </c>
      <c r="AT41" t="s">
        <v>2303</v>
      </c>
      <c r="AU41"/>
      <c r="AV41"/>
      <c r="AW41">
        <v>20</v>
      </c>
    </row>
    <row r="42" spans="2:49" ht="30">
      <c r="B42" s="260" t="s">
        <v>1983</v>
      </c>
      <c r="C42" s="36" t="s">
        <v>2001</v>
      </c>
      <c r="D42" s="36">
        <v>9.5619999999999994</v>
      </c>
      <c r="E42" s="36">
        <v>9.5619999999999994</v>
      </c>
      <c r="F42" s="36">
        <v>10.1</v>
      </c>
      <c r="G42" s="36">
        <v>10.1</v>
      </c>
      <c r="H42" s="36">
        <v>10.1</v>
      </c>
      <c r="I42" s="528"/>
      <c r="L42" s="260" t="s">
        <v>2030</v>
      </c>
      <c r="M42" s="260" t="s">
        <v>2008</v>
      </c>
      <c r="N42" s="551">
        <v>519.29999999999995</v>
      </c>
      <c r="O42" s="260" t="s">
        <v>1991</v>
      </c>
      <c r="P42" s="260" t="s">
        <v>849</v>
      </c>
      <c r="Q42" s="260" t="s">
        <v>1315</v>
      </c>
      <c r="R42" s="554" t="s">
        <v>2276</v>
      </c>
      <c r="S42" s="262">
        <v>400</v>
      </c>
      <c r="T42" s="271"/>
      <c r="U42" s="262">
        <v>747.57</v>
      </c>
      <c r="V42" s="263">
        <v>1065</v>
      </c>
      <c r="W42" s="263">
        <v>0.99280000000000002</v>
      </c>
      <c r="X42" s="553">
        <v>23</v>
      </c>
      <c r="Y42" s="260" t="s">
        <v>2279</v>
      </c>
      <c r="Z42" s="264">
        <v>0.56699999999999995</v>
      </c>
      <c r="AA42" s="260" t="s">
        <v>2282</v>
      </c>
      <c r="AB42" s="549">
        <v>0.53600000000000003</v>
      </c>
      <c r="AC42" s="548" t="s">
        <v>2323</v>
      </c>
      <c r="AD42"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0.57599999999999996</v>
      </c>
      <c r="AE42" s="265">
        <v>45658</v>
      </c>
      <c r="AF42" s="269">
        <v>21</v>
      </c>
      <c r="AG42" s="340" t="s">
        <v>820</v>
      </c>
      <c r="AH42" s="260">
        <v>1065</v>
      </c>
      <c r="AI42" s="260"/>
      <c r="AJ42" s="260" t="s">
        <v>2290</v>
      </c>
      <c r="AK42"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0.54900000000000004</v>
      </c>
      <c r="AL42" s="550">
        <v>400</v>
      </c>
      <c r="AM42" s="550">
        <v>599.99</v>
      </c>
      <c r="AN42" s="260"/>
      <c r="AO42"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42" s="260"/>
      <c r="AQ42" s="538"/>
      <c r="AR42" s="26">
        <v>519.20000000000005</v>
      </c>
      <c r="AS42" t="s">
        <v>2302</v>
      </c>
      <c r="AT42" t="s">
        <v>2303</v>
      </c>
      <c r="AU42"/>
      <c r="AV42"/>
      <c r="AW42">
        <v>21</v>
      </c>
    </row>
    <row r="43" spans="2:49" ht="30">
      <c r="B43" s="260" t="s">
        <v>1984</v>
      </c>
      <c r="C43" s="36" t="s">
        <v>2001</v>
      </c>
      <c r="D43" s="36">
        <v>9.5619999999999994</v>
      </c>
      <c r="E43" s="36">
        <v>9.5619999999999994</v>
      </c>
      <c r="F43" s="36">
        <v>10.1</v>
      </c>
      <c r="G43" s="36">
        <v>10.1</v>
      </c>
      <c r="H43" s="36">
        <v>10.1</v>
      </c>
      <c r="I43" s="528"/>
      <c r="L43" s="260" t="s">
        <v>2031</v>
      </c>
      <c r="M43" s="260" t="s">
        <v>1994</v>
      </c>
      <c r="N43" s="551">
        <v>520.29999999999995</v>
      </c>
      <c r="O43" s="260" t="s">
        <v>1992</v>
      </c>
      <c r="P43" s="260" t="s">
        <v>849</v>
      </c>
      <c r="Q43" s="260" t="s">
        <v>1315</v>
      </c>
      <c r="R43" s="554" t="s">
        <v>2276</v>
      </c>
      <c r="S43" s="262">
        <v>400</v>
      </c>
      <c r="T43" s="271"/>
      <c r="U43" s="262">
        <v>427.18</v>
      </c>
      <c r="V43" s="263">
        <v>1065</v>
      </c>
      <c r="W43" s="263">
        <v>1.0226</v>
      </c>
      <c r="X43" s="553">
        <v>23</v>
      </c>
      <c r="Y43" s="260" t="s">
        <v>2279</v>
      </c>
      <c r="Z43" s="264">
        <v>0.55000000000000004</v>
      </c>
      <c r="AA43" s="260" t="s">
        <v>2282</v>
      </c>
      <c r="AB43" s="549">
        <v>0.52100000000000002</v>
      </c>
      <c r="AC43" s="548" t="s">
        <v>2323</v>
      </c>
      <c r="AD43"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0.56999999999999995</v>
      </c>
      <c r="AE43" s="265">
        <v>45658</v>
      </c>
      <c r="AF43" s="269">
        <v>22</v>
      </c>
      <c r="AG43" s="340" t="s">
        <v>820</v>
      </c>
      <c r="AH43" s="260">
        <v>1065</v>
      </c>
      <c r="AI43" s="260"/>
      <c r="AJ43" s="260" t="s">
        <v>2290</v>
      </c>
      <c r="AK43"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0.53900000000000003</v>
      </c>
      <c r="AL43" s="550">
        <v>600</v>
      </c>
      <c r="AM43" s="550">
        <v>9999</v>
      </c>
      <c r="AN43" s="260"/>
      <c r="AO43" s="570" t="str">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
      </c>
      <c r="AP43" s="260"/>
      <c r="AQ43" s="538"/>
      <c r="AR43" s="26">
        <v>500.2</v>
      </c>
      <c r="AS43" t="s">
        <v>2302</v>
      </c>
      <c r="AT43" t="s">
        <v>2303</v>
      </c>
      <c r="AU43" t="s">
        <v>2304</v>
      </c>
      <c r="AV43" s="36" t="s">
        <v>2305</v>
      </c>
      <c r="AW43" s="36">
        <v>22</v>
      </c>
    </row>
    <row r="44" spans="2:49">
      <c r="B44" s="260" t="s">
        <v>1996</v>
      </c>
      <c r="C44" s="36" t="s">
        <v>2001</v>
      </c>
      <c r="D44" s="36">
        <v>0.78</v>
      </c>
      <c r="E44" s="36">
        <v>0.78</v>
      </c>
      <c r="F44" s="36">
        <v>0.75</v>
      </c>
      <c r="G44" s="36">
        <v>0.75</v>
      </c>
      <c r="H44" s="36">
        <v>0.75</v>
      </c>
      <c r="I44" s="528"/>
      <c r="L44" s="260">
        <v>32411823</v>
      </c>
      <c r="M44" s="260" t="s">
        <v>2012</v>
      </c>
      <c r="N44" s="552">
        <v>500.3</v>
      </c>
      <c r="O44" s="260" t="s">
        <v>1973</v>
      </c>
      <c r="P44" s="260" t="s">
        <v>849</v>
      </c>
      <c r="Q44" s="260" t="s">
        <v>27</v>
      </c>
      <c r="R44" s="554" t="s">
        <v>2273</v>
      </c>
      <c r="S44" s="262">
        <v>50</v>
      </c>
      <c r="T44" s="271"/>
      <c r="U44" s="262">
        <v>415.38</v>
      </c>
      <c r="V44" s="263">
        <v>309.85000000000002</v>
      </c>
      <c r="W44" s="263">
        <v>4.7199999999999999E-2</v>
      </c>
      <c r="X44" s="553">
        <v>15</v>
      </c>
      <c r="Y44" s="260" t="s">
        <v>2277</v>
      </c>
      <c r="Z44" s="264"/>
      <c r="AA44" s="260" t="s">
        <v>2280</v>
      </c>
      <c r="AB44" s="549"/>
      <c r="AC44" s="548" t="s">
        <v>1338</v>
      </c>
      <c r="AD44"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0</v>
      </c>
      <c r="AE44" s="265">
        <v>45658</v>
      </c>
      <c r="AF44" s="567">
        <v>23</v>
      </c>
      <c r="AG44" s="340" t="s">
        <v>820</v>
      </c>
      <c r="AH44" s="260">
        <v>1065</v>
      </c>
      <c r="AI44" s="260">
        <v>1385</v>
      </c>
      <c r="AJ44" s="260" t="s">
        <v>1339</v>
      </c>
      <c r="AK44"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13</v>
      </c>
      <c r="AL44" s="550">
        <v>0</v>
      </c>
      <c r="AM44" s="550">
        <v>5.416666666666667</v>
      </c>
      <c r="AN44" s="260" t="s">
        <v>1345</v>
      </c>
      <c r="AO44" s="570">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7.7</v>
      </c>
      <c r="AP44" s="260"/>
      <c r="AQ44" s="538"/>
      <c r="AR44" s="26">
        <v>520.20000000000005</v>
      </c>
      <c r="AS44" t="s">
        <v>2302</v>
      </c>
      <c r="AT44" t="s">
        <v>2303</v>
      </c>
      <c r="AU44"/>
      <c r="AV44"/>
      <c r="AW44">
        <v>22</v>
      </c>
    </row>
    <row r="45" spans="2:49">
      <c r="B45" s="260" t="s">
        <v>2004</v>
      </c>
      <c r="C45" s="36" t="s">
        <v>2001</v>
      </c>
      <c r="D45" s="36">
        <v>0.77500000000000002</v>
      </c>
      <c r="E45" s="36">
        <v>0.77500000000000002</v>
      </c>
      <c r="F45" s="36">
        <v>0.72</v>
      </c>
      <c r="G45" s="36">
        <v>0.72</v>
      </c>
      <c r="H45" s="36">
        <v>0.72</v>
      </c>
      <c r="I45" s="528"/>
      <c r="L45" s="260">
        <v>32411824</v>
      </c>
      <c r="M45" s="260" t="s">
        <v>2013</v>
      </c>
      <c r="N45" s="552">
        <v>501.3</v>
      </c>
      <c r="O45" s="260" t="s">
        <v>1974</v>
      </c>
      <c r="P45" s="260" t="s">
        <v>849</v>
      </c>
      <c r="Q45" s="260" t="s">
        <v>27</v>
      </c>
      <c r="R45" s="554" t="s">
        <v>2274</v>
      </c>
      <c r="S45" s="262">
        <v>50</v>
      </c>
      <c r="T45" s="271"/>
      <c r="U45" s="262">
        <v>369.86</v>
      </c>
      <c r="V45" s="263">
        <v>480.31</v>
      </c>
      <c r="W45" s="263">
        <v>6.3200000000000006E-2</v>
      </c>
      <c r="X45" s="553">
        <v>15</v>
      </c>
      <c r="Y45" s="260" t="s">
        <v>2277</v>
      </c>
      <c r="Z45" s="264"/>
      <c r="AA45" s="260" t="s">
        <v>2280</v>
      </c>
      <c r="AB45" s="549"/>
      <c r="AC45" s="548" t="s">
        <v>1338</v>
      </c>
      <c r="AD45"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11</v>
      </c>
      <c r="AE45" s="265">
        <v>45658</v>
      </c>
      <c r="AF45" s="567">
        <v>24</v>
      </c>
      <c r="AG45" s="340" t="s">
        <v>820</v>
      </c>
      <c r="AH45" s="260">
        <v>1065</v>
      </c>
      <c r="AI45" s="260">
        <v>1385</v>
      </c>
      <c r="AJ45" s="260" t="s">
        <v>1340</v>
      </c>
      <c r="AK45"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14.6</v>
      </c>
      <c r="AL45" s="550">
        <v>5.416666666666667</v>
      </c>
      <c r="AM45" s="550">
        <v>11.25</v>
      </c>
      <c r="AN45" s="260" t="s">
        <v>1343</v>
      </c>
      <c r="AO45" s="570">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3.3</v>
      </c>
      <c r="AP45" s="260"/>
      <c r="AQ45" s="538"/>
      <c r="AR45" s="26">
        <v>501.2</v>
      </c>
      <c r="AS45" t="s">
        <v>2302</v>
      </c>
      <c r="AT45" t="s">
        <v>2303</v>
      </c>
      <c r="AU45" t="s">
        <v>2306</v>
      </c>
      <c r="AV45" s="36" t="s">
        <v>2305</v>
      </c>
      <c r="AW45" s="36">
        <v>23</v>
      </c>
    </row>
    <row r="46" spans="2:49">
      <c r="B46" s="260" t="s">
        <v>2005</v>
      </c>
      <c r="C46" s="36" t="s">
        <v>2001</v>
      </c>
      <c r="D46" s="36">
        <v>0.68</v>
      </c>
      <c r="E46" s="36">
        <v>0.68</v>
      </c>
      <c r="F46" s="36">
        <v>0.66</v>
      </c>
      <c r="G46" s="36">
        <v>0.66</v>
      </c>
      <c r="H46" s="36">
        <v>0.66</v>
      </c>
      <c r="I46" s="528"/>
      <c r="L46" s="260">
        <v>32411825</v>
      </c>
      <c r="M46" s="260" t="s">
        <v>2014</v>
      </c>
      <c r="N46" s="552">
        <v>502.3</v>
      </c>
      <c r="O46" s="260" t="s">
        <v>1975</v>
      </c>
      <c r="P46" s="260" t="s">
        <v>849</v>
      </c>
      <c r="Q46" s="260" t="s">
        <v>27</v>
      </c>
      <c r="R46" s="554" t="s">
        <v>2274</v>
      </c>
      <c r="S46" s="262">
        <v>50</v>
      </c>
      <c r="T46" s="271"/>
      <c r="U46" s="262">
        <v>388.49</v>
      </c>
      <c r="V46" s="263">
        <v>511.3</v>
      </c>
      <c r="W46" s="263">
        <v>6.7599999999999993E-2</v>
      </c>
      <c r="X46" s="553">
        <v>15</v>
      </c>
      <c r="Y46" s="260" t="s">
        <v>2277</v>
      </c>
      <c r="Z46" s="264"/>
      <c r="AA46" s="260" t="s">
        <v>2280</v>
      </c>
      <c r="AB46" s="549"/>
      <c r="AC46" s="548" t="s">
        <v>1338</v>
      </c>
      <c r="AD46"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10.6</v>
      </c>
      <c r="AE46" s="265">
        <v>45658</v>
      </c>
      <c r="AF46" s="567">
        <v>25</v>
      </c>
      <c r="AG46" s="340" t="s">
        <v>820</v>
      </c>
      <c r="AH46" s="260">
        <v>1065</v>
      </c>
      <c r="AI46" s="260">
        <v>1385</v>
      </c>
      <c r="AJ46" s="260" t="s">
        <v>1340</v>
      </c>
      <c r="AK46"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13.9</v>
      </c>
      <c r="AL46" s="550">
        <v>11.25</v>
      </c>
      <c r="AM46" s="550">
        <v>20</v>
      </c>
      <c r="AN46" s="260" t="s">
        <v>1343</v>
      </c>
      <c r="AO46" s="570">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3.2</v>
      </c>
      <c r="AP46" s="260"/>
      <c r="AQ46" s="538"/>
      <c r="AR46" s="26">
        <v>502.2</v>
      </c>
      <c r="AS46" t="s">
        <v>2302</v>
      </c>
      <c r="AT46" t="s">
        <v>2303</v>
      </c>
      <c r="AU46" t="s">
        <v>2306</v>
      </c>
      <c r="AV46" s="36" t="s">
        <v>2305</v>
      </c>
      <c r="AW46" s="36">
        <v>24</v>
      </c>
    </row>
    <row r="47" spans="2:49">
      <c r="B47" s="260" t="s">
        <v>2009</v>
      </c>
      <c r="C47" s="36" t="s">
        <v>2001</v>
      </c>
      <c r="D47" s="36">
        <v>0.62</v>
      </c>
      <c r="E47" s="36">
        <v>0.62</v>
      </c>
      <c r="F47" s="36">
        <v>0.61</v>
      </c>
      <c r="G47" s="36">
        <v>0.61</v>
      </c>
      <c r="H47" s="36">
        <v>0.61</v>
      </c>
      <c r="I47" s="528"/>
      <c r="L47" s="260">
        <v>32411826</v>
      </c>
      <c r="M47" s="260" t="s">
        <v>2015</v>
      </c>
      <c r="N47" s="552">
        <v>503.3</v>
      </c>
      <c r="O47" s="260" t="s">
        <v>1976</v>
      </c>
      <c r="P47" s="260" t="s">
        <v>849</v>
      </c>
      <c r="Q47" s="260" t="s">
        <v>27</v>
      </c>
      <c r="R47" s="554" t="s">
        <v>2274</v>
      </c>
      <c r="S47" s="262">
        <v>50</v>
      </c>
      <c r="T47" s="271"/>
      <c r="U47" s="262">
        <v>425.2</v>
      </c>
      <c r="V47" s="263">
        <v>528.74</v>
      </c>
      <c r="W47" s="263">
        <v>8.2600000000000007E-2</v>
      </c>
      <c r="X47" s="553">
        <v>15</v>
      </c>
      <c r="Y47" s="260" t="s">
        <v>2277</v>
      </c>
      <c r="Z47" s="264"/>
      <c r="AA47" s="260" t="s">
        <v>2280</v>
      </c>
      <c r="AB47" s="549"/>
      <c r="AC47" s="548" t="s">
        <v>1338</v>
      </c>
      <c r="AD47" s="569">
        <f ca="1">_xlfn.LET(
_xlpm.IECC,
IFERROR(INDEX(INDIRECT("NCHVACCODE_Other[" &amp; NEWCONCODE &amp; "]"),MATCH(STDHVAC_N[[#This Row],[Measure Name]],NCHVACCODE_Other[Measure Name],0)), -1),
_xlpm.DOE,
IFERROR(INDEX(NCHVACCODE_Other[DOE],MATCH(STDHVAC_N[[#This Row],[Measure Name]],NCHVACCODE_Other[Measure Name],0)), ""),
IF(NEWCONCODE&lt;&gt;"",
IF(_xlpm.IECC = -1,
"",
IF(_xlpm.DOE&lt;&gt;"",
IF(AND(_xlpm.IECC&gt;1, _xlpm.DOE&gt;1),
MAX(_xlpm.IECC, _xlpm.DOE),
IF(AND(_xlpm.IECC&lt;1, _xlpm.DOE&lt;1),
MIN(_xlpm.IECC, _xlpm.DOE),
"IECC/DOE undecided.")),
_xlpm.IECC)),
"Baseline Code missing."))</f>
        <v>9.5</v>
      </c>
      <c r="AE47" s="265">
        <v>45658</v>
      </c>
      <c r="AF47" s="567">
        <v>26</v>
      </c>
      <c r="AG47" s="340" t="s">
        <v>820</v>
      </c>
      <c r="AH47" s="260">
        <v>1065</v>
      </c>
      <c r="AI47" s="260">
        <v>1385</v>
      </c>
      <c r="AJ47" s="260" t="s">
        <v>1340</v>
      </c>
      <c r="AK47" s="569">
        <f ca="1">_xlfn.LET(
_xlpm.IECC,
IFERROR(INDEX(INDIRECT("NCHVACCODE_PLC[" &amp; NEWCONCODE &amp; "]"),MATCH(STDHVAC_N[[#This Row],[Measure Name]],NCHVACCODE_PLC[Measure Name],0)), -1),
_xlpm.DOE,
IFERROR(INDEX(NCHVACCODE_PLC[DOE],MATCH(STDHVAC_N[[#This Row],[Measure Name]],NCHVACCODE_PLC[Measure Name],0)), ""),
IF(NEWCONCODE&lt;&gt;"",
IF(_xlpm.IECC = -1,
"",
IF(_xlpm.DOE&lt;&gt;"",
IF(AND(_xlpm.IECC&gt;1, _xlpm.DOE&gt;1),
MAX(_xlpm.IECC, _xlpm.DOE),
IF(AND(_xlpm.IECC&lt;1, _xlpm.DOE&lt;1),
MIN(_xlpm.IECC, _xlpm.DOE),
"IECC/DOE undecided.")),
_xlpm.IECC)),
"Baseline Code missing."))</f>
        <v>12.7</v>
      </c>
      <c r="AL47" s="550">
        <v>20</v>
      </c>
      <c r="AM47" s="550">
        <v>63.333333333333336</v>
      </c>
      <c r="AN47" s="260" t="s">
        <v>1343</v>
      </c>
      <c r="AO47" s="570">
        <f ca="1">_xlfn.LET(
_xlpm.IECC,
IFERROR(INDEX(INDIRECT("NCHVACCODE_Detail[" &amp; NEWCONCODE &amp; "]"),MATCH(STDHVAC_N[[#This Row],[Measure Name]],NCHVACCODE_Detail[Measure Name],0)), -1),
_xlpm.DOE,
IFERROR(INDEX(NCHVACCODE_Detail[DOE],MATCH(STDHVAC_N[[#This Row],[Measure Name]],NCHVACCODE_Detail[Measure Name],0)), ""),
IF(NEWCONCODE&lt;&gt;"",
IF(_xlpm.IECC = -1,
"",
IF(_xlpm.DOE&lt;&gt;"",
IF(AND(_xlpm.IECC&gt;1, _xlpm.DOE&gt;1),
MAX(_xlpm.IECC, _xlpm.DOE),
IF(AND(_xlpm.IECC&lt;1, _xlpm.DOE&lt;1),
MIN(_xlpm.IECC, _xlpm.DOE),
"IECC/DOE undecided.")),
_xlpm.IECC)),
"Baseline Code missing."))</f>
        <v>3.2</v>
      </c>
      <c r="AP47" s="260"/>
      <c r="AQ47" s="538"/>
      <c r="AR47" s="26">
        <v>503.2</v>
      </c>
      <c r="AS47" t="s">
        <v>2302</v>
      </c>
      <c r="AT47" t="s">
        <v>2303</v>
      </c>
      <c r="AU47" t="s">
        <v>2306</v>
      </c>
      <c r="AV47" s="36" t="s">
        <v>2305</v>
      </c>
      <c r="AW47" s="36">
        <v>25</v>
      </c>
    </row>
    <row r="48" spans="2:49">
      <c r="B48" s="260" t="s">
        <v>2010</v>
      </c>
      <c r="C48" s="36" t="s">
        <v>2001</v>
      </c>
      <c r="D48" s="36">
        <v>0.62</v>
      </c>
      <c r="E48" s="36">
        <v>0.62</v>
      </c>
      <c r="F48" s="36">
        <v>0.56000000000000005</v>
      </c>
      <c r="G48" s="36">
        <v>0.56000000000000005</v>
      </c>
      <c r="H48" s="36">
        <v>0.56000000000000005</v>
      </c>
      <c r="I48" s="528"/>
    </row>
    <row r="49" spans="1:10">
      <c r="B49" s="260" t="s">
        <v>1993</v>
      </c>
      <c r="C49" s="36" t="s">
        <v>2001</v>
      </c>
      <c r="D49" s="36">
        <v>0.63400000000000001</v>
      </c>
      <c r="E49" s="36">
        <v>0.63400000000000001</v>
      </c>
      <c r="F49" s="36">
        <v>0.61</v>
      </c>
      <c r="G49" s="36">
        <v>0.61</v>
      </c>
      <c r="H49" s="36">
        <v>0.61</v>
      </c>
      <c r="I49" s="528"/>
    </row>
    <row r="50" spans="1:10">
      <c r="B50" s="260" t="s">
        <v>2006</v>
      </c>
      <c r="C50" s="36" t="s">
        <v>2001</v>
      </c>
      <c r="D50" s="36">
        <v>0.63400000000000001</v>
      </c>
      <c r="E50" s="36">
        <v>0.63400000000000001</v>
      </c>
      <c r="F50" s="36">
        <v>0.61</v>
      </c>
      <c r="G50" s="36">
        <v>0.61</v>
      </c>
      <c r="H50" s="36">
        <v>0.61</v>
      </c>
      <c r="I50" s="528"/>
    </row>
    <row r="51" spans="1:10">
      <c r="B51" s="260" t="s">
        <v>2007</v>
      </c>
      <c r="C51" s="36" t="s">
        <v>2001</v>
      </c>
      <c r="D51" s="36">
        <v>0.57599999999999996</v>
      </c>
      <c r="E51" s="36">
        <v>0.57599999999999996</v>
      </c>
      <c r="F51" s="36">
        <v>0.56000000000000005</v>
      </c>
      <c r="G51" s="36">
        <v>0.56000000000000005</v>
      </c>
      <c r="H51" s="36">
        <v>0.56000000000000005</v>
      </c>
      <c r="I51" s="528"/>
    </row>
    <row r="52" spans="1:10">
      <c r="B52" s="260" t="s">
        <v>2008</v>
      </c>
      <c r="C52" s="36" t="s">
        <v>2001</v>
      </c>
      <c r="D52" s="36">
        <v>0.57599999999999996</v>
      </c>
      <c r="E52" s="36">
        <v>0.57599999999999996</v>
      </c>
      <c r="F52" s="36">
        <v>0.56000000000000005</v>
      </c>
      <c r="G52" s="36">
        <v>0.56000000000000005</v>
      </c>
      <c r="H52" s="36">
        <v>0.56000000000000005</v>
      </c>
      <c r="I52" s="528"/>
    </row>
    <row r="53" spans="1:10">
      <c r="B53" s="260" t="s">
        <v>1994</v>
      </c>
      <c r="C53" s="36" t="s">
        <v>2001</v>
      </c>
      <c r="D53" s="36">
        <v>0.56999999999999995</v>
      </c>
      <c r="E53" s="36">
        <v>0.56999999999999995</v>
      </c>
      <c r="F53" s="36">
        <v>0.56000000000000005</v>
      </c>
      <c r="G53" s="36">
        <v>0.56000000000000005</v>
      </c>
      <c r="H53" s="36">
        <v>0.56000000000000005</v>
      </c>
      <c r="I53" s="528"/>
    </row>
    <row r="54" spans="1:10">
      <c r="B54" s="260" t="s">
        <v>2012</v>
      </c>
      <c r="C54" s="36" t="s">
        <v>1338</v>
      </c>
      <c r="D54" s="523">
        <f>ROUND(D32*D25/D3, 2)</f>
        <v>11.18</v>
      </c>
      <c r="E54" s="523">
        <f t="shared" ref="E54:H54" si="0">ROUND(E32*E25/E3, 2)</f>
        <v>0</v>
      </c>
      <c r="F54" s="523">
        <f t="shared" si="0"/>
        <v>0</v>
      </c>
      <c r="G54" s="523">
        <f t="shared" si="0"/>
        <v>0</v>
      </c>
      <c r="H54" s="523">
        <f t="shared" si="0"/>
        <v>0</v>
      </c>
      <c r="I54" s="528"/>
    </row>
    <row r="55" spans="1:10">
      <c r="B55" s="260" t="s">
        <v>2013</v>
      </c>
      <c r="C55" s="36" t="s">
        <v>1338</v>
      </c>
      <c r="D55" s="36">
        <v>11</v>
      </c>
      <c r="E55" s="36">
        <v>11</v>
      </c>
      <c r="F55" s="36">
        <v>11</v>
      </c>
      <c r="G55" s="36">
        <v>11</v>
      </c>
      <c r="H55" s="36">
        <v>11</v>
      </c>
      <c r="I55" s="528"/>
    </row>
    <row r="56" spans="1:10">
      <c r="B56" s="260" t="s">
        <v>2014</v>
      </c>
      <c r="C56" s="36" t="s">
        <v>1338</v>
      </c>
      <c r="D56" s="36">
        <v>10.6</v>
      </c>
      <c r="E56" s="36">
        <v>10.6</v>
      </c>
      <c r="F56" s="36">
        <v>10.6</v>
      </c>
      <c r="G56" s="36">
        <v>10.6</v>
      </c>
      <c r="H56" s="36">
        <v>10.6</v>
      </c>
      <c r="I56" s="528"/>
    </row>
    <row r="57" spans="1:10">
      <c r="B57" s="260" t="s">
        <v>2015</v>
      </c>
      <c r="C57" s="36" t="s">
        <v>1338</v>
      </c>
      <c r="D57" s="36">
        <v>9.5</v>
      </c>
      <c r="E57" s="36">
        <v>9.5</v>
      </c>
      <c r="F57" s="36">
        <v>9.5</v>
      </c>
      <c r="G57" s="36">
        <v>9.5</v>
      </c>
      <c r="H57" s="36">
        <v>9.5</v>
      </c>
      <c r="I57" s="528"/>
    </row>
    <row r="58" spans="1:10">
      <c r="B58" s="260"/>
      <c r="D58" s="283" t="s">
        <v>2221</v>
      </c>
      <c r="E58" s="283" t="s">
        <v>2236</v>
      </c>
      <c r="F58" s="283" t="s">
        <v>2235</v>
      </c>
      <c r="G58" s="283" t="s">
        <v>2234</v>
      </c>
      <c r="H58" s="283" t="s">
        <v>2233</v>
      </c>
      <c r="I58" s="283"/>
    </row>
    <row r="59" spans="1:10">
      <c r="B59" s="260"/>
    </row>
    <row r="60" spans="1:10">
      <c r="A60" s="568" t="s">
        <v>2331</v>
      </c>
      <c r="B60" s="508" t="s">
        <v>798</v>
      </c>
      <c r="C60" s="508" t="s">
        <v>1678</v>
      </c>
      <c r="D60" s="508" t="s">
        <v>302</v>
      </c>
      <c r="E60" s="508" t="s">
        <v>303</v>
      </c>
      <c r="F60" s="508" t="s">
        <v>304</v>
      </c>
      <c r="G60" s="508" t="s">
        <v>1152</v>
      </c>
      <c r="H60" s="272" t="s">
        <v>2213</v>
      </c>
      <c r="I60" s="528" t="s">
        <v>2330</v>
      </c>
    </row>
    <row r="61" spans="1:10">
      <c r="B61" s="260" t="s">
        <v>1872</v>
      </c>
      <c r="C61" s="523" t="str">
        <f ca="1">IF(NEWCONCODE="IECC 2021", "EER2", "EER")</f>
        <v>EER</v>
      </c>
      <c r="D61" s="36">
        <f>1.12*D8-0.02*D8^2</f>
        <v>11.180000000000003</v>
      </c>
      <c r="E61" s="36">
        <f t="shared" ref="E61:G61" si="1">1.12*E8-0.02*E8^2</f>
        <v>11.180000000000003</v>
      </c>
      <c r="F61" s="36">
        <f t="shared" si="1"/>
        <v>11.760000000000002</v>
      </c>
      <c r="G61" s="36">
        <f t="shared" si="1"/>
        <v>11.760000000000002</v>
      </c>
      <c r="H61" s="523">
        <v>11.45</v>
      </c>
      <c r="I61" s="528"/>
      <c r="J61" s="523" t="s">
        <v>2219</v>
      </c>
    </row>
    <row r="62" spans="1:10">
      <c r="B62" s="260" t="s">
        <v>1873</v>
      </c>
      <c r="C62" s="523" t="str">
        <f ca="1">IF(NEWCONCODE="IECC 2021", "EER2", "EER")</f>
        <v>EER</v>
      </c>
      <c r="D62" s="36">
        <f>1.12*D9-0.02*D9^2</f>
        <v>11.180000000000003</v>
      </c>
      <c r="E62" s="36">
        <f t="shared" ref="E62:G62" si="2">1.12*E9-0.02*E9^2</f>
        <v>11.180000000000003</v>
      </c>
      <c r="F62" s="36">
        <f t="shared" si="2"/>
        <v>11.760000000000002</v>
      </c>
      <c r="G62" s="36">
        <f t="shared" si="2"/>
        <v>11.760000000000002</v>
      </c>
      <c r="H62" s="523">
        <v>11.45</v>
      </c>
      <c r="I62" s="528"/>
      <c r="J62" s="523" t="s">
        <v>2219</v>
      </c>
    </row>
    <row r="63" spans="1:10">
      <c r="B63" s="260" t="s">
        <v>1874</v>
      </c>
      <c r="C63" s="36" t="s">
        <v>1338</v>
      </c>
      <c r="D63" s="36">
        <v>10.8</v>
      </c>
      <c r="E63" s="36">
        <v>10.8</v>
      </c>
      <c r="F63" s="36">
        <v>10.8</v>
      </c>
      <c r="G63" s="36">
        <v>10.8</v>
      </c>
      <c r="H63" s="36">
        <v>10.8</v>
      </c>
      <c r="I63" s="528">
        <v>10.8</v>
      </c>
    </row>
    <row r="64" spans="1:10">
      <c r="B64" s="260" t="s">
        <v>1876</v>
      </c>
      <c r="C64" s="36" t="s">
        <v>1338</v>
      </c>
      <c r="D64" s="36">
        <v>10.4</v>
      </c>
      <c r="E64" s="36">
        <v>10.4</v>
      </c>
      <c r="F64" s="36">
        <v>10.4</v>
      </c>
      <c r="G64" s="36">
        <v>10.4</v>
      </c>
      <c r="H64" s="36">
        <v>10.4</v>
      </c>
      <c r="I64" s="528">
        <v>10.4</v>
      </c>
    </row>
    <row r="65" spans="2:32">
      <c r="B65" s="260" t="s">
        <v>1890</v>
      </c>
      <c r="C65" s="36" t="s">
        <v>1338</v>
      </c>
      <c r="D65" s="36">
        <v>9.3000000000000007</v>
      </c>
      <c r="E65" s="36">
        <v>9.3000000000000007</v>
      </c>
      <c r="F65" s="36">
        <v>9.3000000000000007</v>
      </c>
      <c r="G65" s="36">
        <v>9.3000000000000007</v>
      </c>
      <c r="H65" s="36">
        <v>9.3000000000000007</v>
      </c>
      <c r="I65" s="528">
        <v>9.3000000000000007</v>
      </c>
    </row>
    <row r="66" spans="2:32">
      <c r="B66" s="260" t="s">
        <v>2012</v>
      </c>
      <c r="C66" s="36" t="s">
        <v>1345</v>
      </c>
      <c r="D66" s="36">
        <v>7.7</v>
      </c>
      <c r="E66" s="36">
        <v>7.7</v>
      </c>
      <c r="F66" s="36">
        <v>7.7</v>
      </c>
      <c r="G66" s="36">
        <v>7.7</v>
      </c>
      <c r="H66" s="36">
        <v>7.7</v>
      </c>
      <c r="I66" s="528">
        <v>7.7</v>
      </c>
    </row>
    <row r="67" spans="2:32">
      <c r="B67" s="260" t="s">
        <v>2013</v>
      </c>
      <c r="C67" s="36" t="s">
        <v>1343</v>
      </c>
      <c r="D67" s="36">
        <v>3.3</v>
      </c>
      <c r="E67" s="36">
        <v>3.3</v>
      </c>
      <c r="F67" s="36">
        <v>3.3</v>
      </c>
      <c r="G67" s="36">
        <v>3.3</v>
      </c>
      <c r="H67" s="36">
        <v>3.3</v>
      </c>
      <c r="I67" s="528">
        <v>3.3</v>
      </c>
    </row>
    <row r="68" spans="2:32">
      <c r="B68" s="260" t="s">
        <v>2014</v>
      </c>
      <c r="C68" s="36" t="s">
        <v>1343</v>
      </c>
      <c r="D68" s="36">
        <v>3.2</v>
      </c>
      <c r="E68" s="36">
        <v>3.2</v>
      </c>
      <c r="F68" s="36">
        <v>3.2</v>
      </c>
      <c r="G68" s="36">
        <v>3.2</v>
      </c>
      <c r="H68" s="36">
        <v>3.2</v>
      </c>
      <c r="I68" s="528">
        <v>3.2</v>
      </c>
    </row>
    <row r="69" spans="2:32">
      <c r="B69" s="260" t="s">
        <v>2015</v>
      </c>
      <c r="C69" s="36" t="s">
        <v>1343</v>
      </c>
      <c r="D69" s="36">
        <v>3.2</v>
      </c>
      <c r="E69" s="36">
        <v>3.2</v>
      </c>
      <c r="F69" s="36">
        <v>3.2</v>
      </c>
      <c r="G69" s="36">
        <v>3.2</v>
      </c>
      <c r="H69" s="36">
        <v>3.2</v>
      </c>
      <c r="I69" s="528">
        <v>3.2</v>
      </c>
    </row>
    <row r="70" spans="2:32">
      <c r="D70" s="283" t="s">
        <v>2221</v>
      </c>
      <c r="E70" s="283" t="s">
        <v>2236</v>
      </c>
      <c r="F70" s="283" t="s">
        <v>2235</v>
      </c>
      <c r="G70" s="283" t="s">
        <v>2234</v>
      </c>
      <c r="H70" s="283" t="s">
        <v>2233</v>
      </c>
      <c r="I70" s="283"/>
    </row>
    <row r="74" spans="2:32">
      <c r="X74" s="576"/>
      <c r="Y74" s="576"/>
      <c r="Z74" s="576"/>
      <c r="AA74" s="576"/>
      <c r="AB74" s="576"/>
      <c r="AC74" s="576"/>
      <c r="AD74" s="576"/>
      <c r="AE74" s="576"/>
      <c r="AF74" s="576"/>
    </row>
    <row r="75" spans="2:32">
      <c r="X75" s="576"/>
      <c r="Y75" s="576"/>
      <c r="Z75" s="576"/>
      <c r="AA75" s="576"/>
      <c r="AB75" s="576"/>
      <c r="AC75" s="576"/>
      <c r="AD75" s="576"/>
      <c r="AE75" s="576"/>
      <c r="AF75" s="576"/>
    </row>
    <row r="76" spans="2:32">
      <c r="X76" s="576"/>
      <c r="Y76" s="576"/>
      <c r="Z76" s="576"/>
      <c r="AA76" s="576"/>
      <c r="AB76" s="576"/>
      <c r="AC76" s="576"/>
      <c r="AD76" s="576"/>
      <c r="AE76" s="576"/>
      <c r="AF76" s="576"/>
    </row>
    <row r="77" spans="2:32">
      <c r="X77" s="576"/>
      <c r="Y77" s="576"/>
      <c r="Z77" s="576"/>
      <c r="AA77" s="576"/>
      <c r="AB77" s="576"/>
      <c r="AC77" s="576"/>
      <c r="AD77" s="576"/>
      <c r="AE77" s="576"/>
      <c r="AF77" s="576"/>
    </row>
    <row r="78" spans="2:32">
      <c r="X78" s="576"/>
      <c r="Y78" s="576"/>
      <c r="Z78" s="576"/>
      <c r="AA78" s="576"/>
      <c r="AB78" s="576"/>
      <c r="AC78" s="576"/>
      <c r="AD78" s="576"/>
      <c r="AE78" s="576"/>
      <c r="AF78" s="576"/>
    </row>
  </sheetData>
  <sheetProtection algorithmName="SHA-512" hashValue="gL2BkmdFUn3fwCkGPRL1T/IGLaXODKUnhpuh0yLHZz4PHl/R+Ex1mUPhTmO1OlMNm2zvHyOkvNW6aQMOv2MnzQ==" saltValue="NE2FlqTY8XiRzJYanRzHXg==" spinCount="100000" sheet="1" objects="1" scenarios="1"/>
  <phoneticPr fontId="135" type="noConversion"/>
  <conditionalFormatting sqref="T3:T9 T18:T19 T22:T47">
    <cfRule type="containsBlanks" dxfId="155" priority="1">
      <formula>LEN(TRIM(T3))=0</formula>
    </cfRule>
  </conditionalFormatting>
  <dataValidations count="1">
    <dataValidation type="list" allowBlank="1" showInputMessage="1" showErrorMessage="1" sqref="AS22:AV47" xr:uid="{EA7B9C2E-B6C7-43D1-A469-862AE56267D9}">
      <formula1>"PLC, FLC, PLH, FLH, Tons-Heat"</formula1>
    </dataValidation>
  </dataValidations>
  <pageMargins left="0" right="0" top="0" bottom="0" header="0" footer="0"/>
  <pageSetup orientation="portrait" r:id="rId1"/>
  <legacyDrawing r:id="rId2"/>
  <tableParts count="7">
    <tablePart r:id="rId3"/>
    <tablePart r:id="rId4"/>
    <tablePart r:id="rId5"/>
    <tablePart r:id="rId6"/>
    <tablePart r:id="rId7"/>
    <tablePart r:id="rId8"/>
    <tablePart r:id="rId9"/>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DF6FA-061F-49AC-BD4D-E15B3231143C}">
  <sheetPr codeName="Sheet54">
    <tabColor theme="9" tint="0.59999389629810485"/>
  </sheetPr>
  <dimension ref="A1:AS81"/>
  <sheetViews>
    <sheetView topLeftCell="A2" zoomScale="85" zoomScaleNormal="85" workbookViewId="0">
      <selection activeCell="B24" sqref="B24"/>
    </sheetView>
  </sheetViews>
  <sheetFormatPr defaultColWidth="0" defaultRowHeight="14.45" customHeight="1"/>
  <cols>
    <col min="1" max="1" width="4.7109375" customWidth="1"/>
    <col min="2" max="2" width="23.140625" customWidth="1"/>
    <col min="3" max="3" width="23.85546875" customWidth="1"/>
    <col min="4" max="4" width="52.5703125" bestFit="1" customWidth="1"/>
    <col min="5" max="5" width="17.42578125" hidden="1" customWidth="1"/>
    <col min="6" max="6" width="13.28515625" hidden="1" customWidth="1"/>
    <col min="7" max="7" width="8.28515625" customWidth="1"/>
    <col min="8" max="8" width="21.5703125" hidden="1" customWidth="1"/>
    <col min="9" max="9" width="27.5703125" hidden="1" customWidth="1"/>
    <col min="10" max="10" width="28" hidden="1" customWidth="1"/>
    <col min="11" max="11" width="9.85546875" hidden="1" customWidth="1"/>
    <col min="12" max="12" width="10.42578125" customWidth="1"/>
    <col min="13" max="13" width="54.7109375" bestFit="1" customWidth="1"/>
    <col min="14" max="14" width="11.42578125" hidden="1" customWidth="1"/>
    <col min="15" max="15" width="16.5703125" customWidth="1"/>
    <col min="16" max="16" width="26.85546875" customWidth="1"/>
    <col min="17" max="17" width="26.140625" bestFit="1" customWidth="1"/>
    <col min="18" max="45" width="4.7109375" customWidth="1"/>
    <col min="46" max="16384" width="4.7109375" hidden="1"/>
  </cols>
  <sheetData>
    <row r="1" spans="2:38" ht="14.45" customHeight="1">
      <c r="B1" s="11" t="s">
        <v>1784</v>
      </c>
      <c r="C1" s="448" t="s">
        <v>1851</v>
      </c>
    </row>
    <row r="2" spans="2:38" ht="14.45" customHeight="1">
      <c r="B2" s="11" t="s">
        <v>1064</v>
      </c>
      <c r="C2" s="448" t="s">
        <v>1149</v>
      </c>
    </row>
    <row r="3" spans="2:38" ht="14.45" customHeight="1">
      <c r="B3" s="11" t="s">
        <v>1065</v>
      </c>
      <c r="C3" s="448" t="s">
        <v>1150</v>
      </c>
    </row>
    <row r="4" spans="2:38" ht="14.45" customHeight="1">
      <c r="B4" s="11" t="s">
        <v>1717</v>
      </c>
      <c r="C4" s="448" t="s">
        <v>1850</v>
      </c>
    </row>
    <row r="6" spans="2:38" ht="14.45" customHeight="1">
      <c r="B6" s="501" t="s">
        <v>22</v>
      </c>
      <c r="C6" s="501" t="s">
        <v>244</v>
      </c>
      <c r="D6" s="502" t="s">
        <v>233</v>
      </c>
      <c r="E6" s="502" t="s">
        <v>234</v>
      </c>
      <c r="F6" s="502" t="s">
        <v>245</v>
      </c>
      <c r="G6" s="502" t="s">
        <v>25</v>
      </c>
      <c r="H6" s="502" t="s">
        <v>23</v>
      </c>
      <c r="I6" s="502" t="s">
        <v>203</v>
      </c>
      <c r="J6" s="502" t="s">
        <v>204</v>
      </c>
      <c r="K6" s="502" t="s">
        <v>208</v>
      </c>
      <c r="L6" s="502" t="s">
        <v>205</v>
      </c>
      <c r="M6" s="502" t="s">
        <v>207</v>
      </c>
      <c r="N6" s="502" t="s">
        <v>197</v>
      </c>
      <c r="O6" s="502" t="s">
        <v>249</v>
      </c>
      <c r="P6" s="502" t="s">
        <v>206</v>
      </c>
      <c r="Q6" s="502" t="s">
        <v>733</v>
      </c>
      <c r="W6" t="s">
        <v>1088</v>
      </c>
      <c r="X6" t="s">
        <v>38</v>
      </c>
      <c r="Y6" t="s">
        <v>241</v>
      </c>
      <c r="AB6">
        <v>15</v>
      </c>
      <c r="AG6">
        <v>15</v>
      </c>
      <c r="AH6" t="s">
        <v>1315</v>
      </c>
      <c r="AJ6" t="s">
        <v>243</v>
      </c>
      <c r="AK6" t="s">
        <v>27</v>
      </c>
      <c r="AL6" t="s">
        <v>734</v>
      </c>
    </row>
    <row r="7" spans="2:38" ht="14.45" customHeight="1">
      <c r="B7" s="449" t="s">
        <v>1080</v>
      </c>
      <c r="C7" s="225" t="s">
        <v>38</v>
      </c>
      <c r="D7" s="341" t="s">
        <v>282</v>
      </c>
      <c r="E7" s="224"/>
      <c r="F7" s="224"/>
      <c r="G7" s="224">
        <v>15</v>
      </c>
      <c r="H7" s="224"/>
      <c r="I7" s="224"/>
      <c r="J7" s="224"/>
      <c r="K7" s="224"/>
      <c r="L7" s="224">
        <v>1</v>
      </c>
      <c r="M7" s="224" t="s">
        <v>1325</v>
      </c>
      <c r="N7" s="225"/>
      <c r="O7" s="224" t="s">
        <v>243</v>
      </c>
      <c r="P7" s="224" t="s">
        <v>27</v>
      </c>
      <c r="Q7" s="224" t="s">
        <v>736</v>
      </c>
      <c r="W7" t="s">
        <v>1249</v>
      </c>
      <c r="X7" t="s">
        <v>38</v>
      </c>
      <c r="Y7" t="s">
        <v>1233</v>
      </c>
      <c r="AB7">
        <v>15</v>
      </c>
      <c r="AG7">
        <v>10</v>
      </c>
      <c r="AH7" t="s">
        <v>1325</v>
      </c>
      <c r="AJ7" t="s">
        <v>243</v>
      </c>
      <c r="AK7" t="s">
        <v>27</v>
      </c>
      <c r="AL7" t="s">
        <v>734</v>
      </c>
    </row>
    <row r="8" spans="2:38" ht="14.45" customHeight="1">
      <c r="B8" s="449" t="s">
        <v>1081</v>
      </c>
      <c r="C8" s="225" t="s">
        <v>38</v>
      </c>
      <c r="D8" s="341" t="s">
        <v>211</v>
      </c>
      <c r="E8" s="224"/>
      <c r="F8" s="224"/>
      <c r="G8" s="224">
        <v>20</v>
      </c>
      <c r="H8" s="224"/>
      <c r="I8" s="224"/>
      <c r="J8" s="224"/>
      <c r="K8" s="224"/>
      <c r="L8" s="224">
        <v>2</v>
      </c>
      <c r="M8" s="224" t="s">
        <v>1315</v>
      </c>
      <c r="N8" s="225"/>
      <c r="O8" s="224" t="s">
        <v>243</v>
      </c>
      <c r="P8" s="224" t="s">
        <v>27</v>
      </c>
      <c r="Q8" s="224" t="s">
        <v>734</v>
      </c>
    </row>
    <row r="9" spans="2:38" ht="14.45" customHeight="1">
      <c r="B9" s="449" t="s">
        <v>1082</v>
      </c>
      <c r="C9" s="225" t="s">
        <v>38</v>
      </c>
      <c r="D9" s="341" t="s">
        <v>281</v>
      </c>
      <c r="E9" s="224"/>
      <c r="F9" s="224"/>
      <c r="G9" s="224">
        <v>15</v>
      </c>
      <c r="H9" s="224"/>
      <c r="I9" s="224"/>
      <c r="J9" s="224"/>
      <c r="K9" s="224"/>
      <c r="L9" s="224">
        <v>3</v>
      </c>
      <c r="M9" s="224" t="s">
        <v>1325</v>
      </c>
      <c r="N9" s="225"/>
      <c r="O9" s="224" t="s">
        <v>243</v>
      </c>
      <c r="P9" s="224" t="s">
        <v>27</v>
      </c>
      <c r="Q9" s="224" t="s">
        <v>734</v>
      </c>
    </row>
    <row r="10" spans="2:38" ht="14.45" customHeight="1">
      <c r="B10" s="449" t="s">
        <v>1083</v>
      </c>
      <c r="C10" s="225" t="s">
        <v>38</v>
      </c>
      <c r="D10" s="341" t="s">
        <v>213</v>
      </c>
      <c r="E10" s="224"/>
      <c r="F10" s="224"/>
      <c r="G10" s="224">
        <v>15</v>
      </c>
      <c r="H10" s="224"/>
      <c r="I10" s="224"/>
      <c r="J10" s="224"/>
      <c r="K10" s="224"/>
      <c r="L10" s="224">
        <v>4</v>
      </c>
      <c r="M10" s="224" t="s">
        <v>1315</v>
      </c>
      <c r="N10" s="225"/>
      <c r="O10" s="224" t="s">
        <v>243</v>
      </c>
      <c r="P10" s="224" t="s">
        <v>27</v>
      </c>
      <c r="Q10" s="224" t="s">
        <v>734</v>
      </c>
    </row>
    <row r="11" spans="2:38" ht="14.45" customHeight="1">
      <c r="B11" s="449" t="s">
        <v>1084</v>
      </c>
      <c r="C11" s="225" t="s">
        <v>38</v>
      </c>
      <c r="D11" s="341" t="s">
        <v>210</v>
      </c>
      <c r="E11" s="224"/>
      <c r="F11" s="224"/>
      <c r="G11" s="224">
        <v>15</v>
      </c>
      <c r="H11" s="224"/>
      <c r="I11" s="224"/>
      <c r="J11" s="224"/>
      <c r="K11" s="224"/>
      <c r="L11" s="224">
        <v>5</v>
      </c>
      <c r="M11" s="224" t="s">
        <v>1325</v>
      </c>
      <c r="N11" s="225"/>
      <c r="O11" s="224" t="s">
        <v>243</v>
      </c>
      <c r="P11" s="224" t="s">
        <v>27</v>
      </c>
      <c r="Q11" s="224" t="s">
        <v>735</v>
      </c>
    </row>
    <row r="12" spans="2:38" ht="14.45" customHeight="1">
      <c r="B12" s="449" t="s">
        <v>1085</v>
      </c>
      <c r="C12" s="225" t="s">
        <v>38</v>
      </c>
      <c r="D12" s="341" t="s">
        <v>229</v>
      </c>
      <c r="E12" s="224"/>
      <c r="F12" s="224"/>
      <c r="G12" s="224">
        <v>15</v>
      </c>
      <c r="H12" s="224"/>
      <c r="I12" s="224"/>
      <c r="J12" s="224"/>
      <c r="K12" s="224"/>
      <c r="L12" s="224">
        <v>6</v>
      </c>
      <c r="M12" s="224" t="s">
        <v>761</v>
      </c>
      <c r="N12" s="225"/>
      <c r="O12" s="224" t="s">
        <v>243</v>
      </c>
      <c r="P12" s="224" t="s">
        <v>27</v>
      </c>
      <c r="Q12" s="224" t="s">
        <v>736</v>
      </c>
    </row>
    <row r="13" spans="2:38" ht="14.45" customHeight="1">
      <c r="B13" s="449" t="s">
        <v>1246</v>
      </c>
      <c r="C13" s="225" t="s">
        <v>38</v>
      </c>
      <c r="D13" s="341" t="s">
        <v>1237</v>
      </c>
      <c r="E13" s="224"/>
      <c r="F13" s="224"/>
      <c r="G13" s="224">
        <v>10</v>
      </c>
      <c r="H13" s="224"/>
      <c r="I13" s="224"/>
      <c r="J13" s="224"/>
      <c r="K13" s="224"/>
      <c r="L13" s="224">
        <v>7</v>
      </c>
      <c r="M13" s="224" t="s">
        <v>1317</v>
      </c>
      <c r="N13" s="225"/>
      <c r="O13" s="224" t="s">
        <v>243</v>
      </c>
      <c r="P13" s="224" t="s">
        <v>27</v>
      </c>
      <c r="Q13" s="224" t="s">
        <v>1242</v>
      </c>
    </row>
    <row r="14" spans="2:38" ht="14.45" customHeight="1">
      <c r="B14" s="449" t="s">
        <v>1889</v>
      </c>
      <c r="C14" s="225" t="s">
        <v>38</v>
      </c>
      <c r="D14" s="341" t="s">
        <v>1888</v>
      </c>
      <c r="E14" s="224"/>
      <c r="F14" s="224"/>
      <c r="G14" s="224">
        <v>15</v>
      </c>
      <c r="H14" s="224"/>
      <c r="I14" s="224"/>
      <c r="J14" s="224"/>
      <c r="K14" s="224"/>
      <c r="L14" s="224">
        <v>8</v>
      </c>
      <c r="M14" s="224" t="s">
        <v>27</v>
      </c>
      <c r="N14" s="225"/>
      <c r="O14" s="224" t="s">
        <v>243</v>
      </c>
      <c r="P14" s="224" t="s">
        <v>27</v>
      </c>
      <c r="Q14" s="224" t="s">
        <v>1925</v>
      </c>
    </row>
    <row r="15" spans="2:38" ht="14.45" customHeight="1">
      <c r="B15" s="449" t="s">
        <v>1247</v>
      </c>
      <c r="C15" s="225" t="s">
        <v>38</v>
      </c>
      <c r="D15" s="341" t="s">
        <v>1238</v>
      </c>
      <c r="E15" s="224"/>
      <c r="F15" s="224"/>
      <c r="G15" s="224">
        <v>10</v>
      </c>
      <c r="H15" s="224"/>
      <c r="I15" s="224"/>
      <c r="J15" s="224"/>
      <c r="K15" s="224"/>
      <c r="L15" s="224">
        <v>9</v>
      </c>
      <c r="M15" s="224" t="s">
        <v>1326</v>
      </c>
      <c r="N15" s="225"/>
      <c r="O15" s="224" t="s">
        <v>243</v>
      </c>
      <c r="P15" s="224" t="s">
        <v>27</v>
      </c>
      <c r="Q15" s="224" t="s">
        <v>734</v>
      </c>
    </row>
    <row r="16" spans="2:38" ht="14.45" customHeight="1">
      <c r="B16" s="449" t="s">
        <v>1248</v>
      </c>
      <c r="C16" s="225" t="s">
        <v>38</v>
      </c>
      <c r="D16" s="341" t="s">
        <v>1239</v>
      </c>
      <c r="E16" s="224"/>
      <c r="F16" s="224"/>
      <c r="G16" s="224">
        <v>15</v>
      </c>
      <c r="H16" s="224"/>
      <c r="I16" s="224"/>
      <c r="J16" s="224"/>
      <c r="K16" s="224"/>
      <c r="L16" s="224">
        <v>10</v>
      </c>
      <c r="M16" s="224" t="s">
        <v>761</v>
      </c>
      <c r="N16" s="225"/>
      <c r="O16" s="224" t="s">
        <v>243</v>
      </c>
      <c r="P16" s="224" t="s">
        <v>27</v>
      </c>
      <c r="Q16" s="224" t="s">
        <v>736</v>
      </c>
    </row>
    <row r="17" spans="2:17" ht="14.45" customHeight="1">
      <c r="B17" s="449" t="s">
        <v>1848</v>
      </c>
      <c r="C17" s="225" t="s">
        <v>38</v>
      </c>
      <c r="D17" s="341" t="s">
        <v>1234</v>
      </c>
      <c r="E17" s="224"/>
      <c r="F17" s="224"/>
      <c r="G17" s="224">
        <v>15</v>
      </c>
      <c r="H17" s="224"/>
      <c r="I17" s="224"/>
      <c r="J17" s="224"/>
      <c r="K17" s="224"/>
      <c r="L17" s="224">
        <v>11</v>
      </c>
      <c r="M17" s="224" t="s">
        <v>27</v>
      </c>
      <c r="N17" s="225"/>
      <c r="O17" s="224" t="s">
        <v>243</v>
      </c>
      <c r="P17" s="224" t="s">
        <v>27</v>
      </c>
      <c r="Q17" s="224" t="s">
        <v>1242</v>
      </c>
    </row>
    <row r="18" spans="2:17" ht="14.45" customHeight="1">
      <c r="B18" s="449" t="s">
        <v>1849</v>
      </c>
      <c r="C18" s="225" t="s">
        <v>38</v>
      </c>
      <c r="D18" s="341" t="s">
        <v>1680</v>
      </c>
      <c r="E18" s="224"/>
      <c r="F18" s="224"/>
      <c r="G18" s="224">
        <v>20</v>
      </c>
      <c r="H18" s="224"/>
      <c r="I18" s="224"/>
      <c r="J18" s="224"/>
      <c r="K18" s="224"/>
      <c r="L18" s="224">
        <v>12</v>
      </c>
      <c r="M18" s="224" t="s">
        <v>27</v>
      </c>
      <c r="N18" s="225"/>
      <c r="O18" s="224" t="s">
        <v>243</v>
      </c>
      <c r="P18" s="224" t="s">
        <v>27</v>
      </c>
      <c r="Q18" s="224" t="s">
        <v>1242</v>
      </c>
    </row>
    <row r="19" spans="2:17" ht="14.45" customHeight="1">
      <c r="B19" s="449" t="s">
        <v>1928</v>
      </c>
      <c r="C19" s="225" t="s">
        <v>38</v>
      </c>
      <c r="D19" s="22" t="s">
        <v>1908</v>
      </c>
      <c r="E19" s="224"/>
      <c r="F19" s="224"/>
      <c r="G19" s="224">
        <v>15</v>
      </c>
      <c r="H19" s="224"/>
      <c r="I19" s="224"/>
      <c r="J19" s="224"/>
      <c r="K19" s="224"/>
      <c r="L19" s="224">
        <v>13</v>
      </c>
      <c r="M19" s="224" t="s">
        <v>1326</v>
      </c>
      <c r="N19" s="225"/>
      <c r="O19" s="224" t="s">
        <v>243</v>
      </c>
      <c r="P19" s="224" t="s">
        <v>27</v>
      </c>
      <c r="Q19" s="224" t="s">
        <v>735</v>
      </c>
    </row>
    <row r="20" spans="2:17" ht="14.45" customHeight="1">
      <c r="B20" s="449" t="s">
        <v>1927</v>
      </c>
      <c r="C20" s="225" t="s">
        <v>38</v>
      </c>
      <c r="D20" s="22" t="s">
        <v>1909</v>
      </c>
      <c r="E20" s="224"/>
      <c r="F20" s="224"/>
      <c r="G20" s="224">
        <v>15</v>
      </c>
      <c r="H20" s="224"/>
      <c r="I20" s="224"/>
      <c r="J20" s="224"/>
      <c r="K20" s="224"/>
      <c r="L20" s="224">
        <v>14</v>
      </c>
      <c r="M20" s="224" t="s">
        <v>1325</v>
      </c>
      <c r="N20" s="225"/>
      <c r="O20" s="224" t="s">
        <v>243</v>
      </c>
      <c r="P20" s="224" t="s">
        <v>27</v>
      </c>
      <c r="Q20" s="224" t="s">
        <v>735</v>
      </c>
    </row>
    <row r="21" spans="2:17" ht="14.45" customHeight="1">
      <c r="B21" s="449" t="s">
        <v>1086</v>
      </c>
      <c r="C21" s="225" t="s">
        <v>38</v>
      </c>
      <c r="D21" s="341" t="s">
        <v>299</v>
      </c>
      <c r="E21" s="224"/>
      <c r="F21" s="224"/>
      <c r="G21" s="224">
        <v>15</v>
      </c>
      <c r="H21" s="224"/>
      <c r="I21" s="224"/>
      <c r="J21" s="224"/>
      <c r="K21" s="224"/>
      <c r="L21" s="224">
        <v>15</v>
      </c>
      <c r="M21" s="224" t="s">
        <v>761</v>
      </c>
      <c r="N21" s="225"/>
      <c r="O21" s="224" t="s">
        <v>243</v>
      </c>
      <c r="P21" s="224" t="s">
        <v>27</v>
      </c>
      <c r="Q21" s="224" t="s">
        <v>736</v>
      </c>
    </row>
    <row r="22" spans="2:17" ht="14.45" customHeight="1">
      <c r="B22" s="449" t="s">
        <v>1089</v>
      </c>
      <c r="C22" s="225" t="s">
        <v>38</v>
      </c>
      <c r="D22" s="341" t="s">
        <v>209</v>
      </c>
      <c r="E22" s="224"/>
      <c r="F22" s="224"/>
      <c r="G22" s="224">
        <v>15</v>
      </c>
      <c r="H22" s="224"/>
      <c r="I22" s="224"/>
      <c r="J22" s="224"/>
      <c r="K22" s="224"/>
      <c r="L22" s="224">
        <v>16</v>
      </c>
      <c r="M22" s="224" t="s">
        <v>27</v>
      </c>
      <c r="N22" s="225"/>
      <c r="O22" s="224" t="s">
        <v>243</v>
      </c>
      <c r="P22" s="224" t="s">
        <v>27</v>
      </c>
      <c r="Q22" s="224" t="s">
        <v>734</v>
      </c>
    </row>
    <row r="23" spans="2:17" ht="14.45" customHeight="1">
      <c r="B23" s="580" t="s">
        <v>2379</v>
      </c>
      <c r="C23" s="225" t="s">
        <v>38</v>
      </c>
      <c r="D23" s="341" t="s">
        <v>2378</v>
      </c>
      <c r="E23" s="224"/>
      <c r="F23" s="224"/>
      <c r="G23" s="224">
        <v>15</v>
      </c>
      <c r="H23" s="224"/>
      <c r="I23" s="224"/>
      <c r="J23" s="224"/>
      <c r="K23" s="224"/>
      <c r="L23" s="224">
        <v>17</v>
      </c>
      <c r="M23" s="224" t="s">
        <v>27</v>
      </c>
      <c r="N23" s="225"/>
      <c r="O23" s="224" t="s">
        <v>243</v>
      </c>
      <c r="P23" s="224" t="s">
        <v>27</v>
      </c>
      <c r="Q23" s="224" t="s">
        <v>734</v>
      </c>
    </row>
    <row r="24" spans="2:17" ht="14.45" customHeight="1">
      <c r="B24" s="449" t="s">
        <v>1090</v>
      </c>
      <c r="C24" s="225" t="s">
        <v>38</v>
      </c>
      <c r="D24" s="341" t="s">
        <v>226</v>
      </c>
      <c r="E24" s="224"/>
      <c r="F24" s="224"/>
      <c r="G24" s="224">
        <v>10</v>
      </c>
      <c r="H24" s="224"/>
      <c r="I24" s="224"/>
      <c r="J24" s="224"/>
      <c r="K24" s="224"/>
      <c r="L24" s="224">
        <v>18</v>
      </c>
      <c r="M24" s="224" t="s">
        <v>761</v>
      </c>
      <c r="N24" s="225"/>
      <c r="O24" s="224" t="s">
        <v>243</v>
      </c>
      <c r="P24" s="224" t="s">
        <v>27</v>
      </c>
      <c r="Q24" s="224" t="s">
        <v>736</v>
      </c>
    </row>
    <row r="25" spans="2:17" ht="14.45" customHeight="1">
      <c r="B25" s="449" t="s">
        <v>1250</v>
      </c>
      <c r="C25" s="225" t="s">
        <v>38</v>
      </c>
      <c r="D25" s="341" t="s">
        <v>1236</v>
      </c>
      <c r="E25" s="224"/>
      <c r="F25" s="224"/>
      <c r="G25" s="224">
        <v>15</v>
      </c>
      <c r="H25" s="224"/>
      <c r="I25" s="224"/>
      <c r="J25" s="224"/>
      <c r="K25" s="224"/>
      <c r="L25" s="224">
        <v>19</v>
      </c>
      <c r="M25" s="224" t="s">
        <v>27</v>
      </c>
      <c r="N25" s="225"/>
      <c r="O25" s="224" t="s">
        <v>243</v>
      </c>
      <c r="P25" s="224" t="s">
        <v>27</v>
      </c>
      <c r="Q25" s="224" t="s">
        <v>734</v>
      </c>
    </row>
    <row r="26" spans="2:17" ht="14.45" customHeight="1">
      <c r="B26" s="450" t="s">
        <v>1091</v>
      </c>
      <c r="C26" s="225" t="s">
        <v>38</v>
      </c>
      <c r="D26" s="343" t="s">
        <v>212</v>
      </c>
      <c r="E26" s="227"/>
      <c r="F26" s="227"/>
      <c r="G26" s="227">
        <v>20</v>
      </c>
      <c r="H26" s="227"/>
      <c r="I26" s="227"/>
      <c r="J26" s="227"/>
      <c r="K26" s="227"/>
      <c r="L26" s="224">
        <v>20</v>
      </c>
      <c r="M26" s="227" t="s">
        <v>1315</v>
      </c>
      <c r="N26" s="342"/>
      <c r="O26" s="224" t="s">
        <v>243</v>
      </c>
      <c r="P26" s="227" t="s">
        <v>27</v>
      </c>
      <c r="Q26" s="227" t="s">
        <v>734</v>
      </c>
    </row>
    <row r="27" spans="2:17" ht="14.45" customHeight="1">
      <c r="B27" s="449" t="s">
        <v>1092</v>
      </c>
      <c r="C27" s="225" t="s">
        <v>38</v>
      </c>
      <c r="D27" s="341" t="s">
        <v>1681</v>
      </c>
      <c r="E27" s="224"/>
      <c r="F27" s="224"/>
      <c r="G27" s="224">
        <v>15</v>
      </c>
      <c r="H27" s="224"/>
      <c r="I27" s="224"/>
      <c r="J27" s="224"/>
      <c r="K27" s="224"/>
      <c r="L27" s="224">
        <v>21</v>
      </c>
      <c r="M27" s="224" t="s">
        <v>27</v>
      </c>
      <c r="N27" s="225"/>
      <c r="O27" s="224" t="s">
        <v>243</v>
      </c>
      <c r="P27" s="224" t="s">
        <v>27</v>
      </c>
      <c r="Q27" s="224" t="s">
        <v>1242</v>
      </c>
    </row>
    <row r="28" spans="2:17" ht="14.45" customHeight="1">
      <c r="B28" s="450" t="s">
        <v>1087</v>
      </c>
      <c r="C28" s="342" t="s">
        <v>38</v>
      </c>
      <c r="D28" s="343" t="s">
        <v>246</v>
      </c>
      <c r="E28" s="227"/>
      <c r="F28" s="227"/>
      <c r="G28" s="227"/>
      <c r="H28" s="227"/>
      <c r="I28" s="227"/>
      <c r="J28" s="227"/>
      <c r="K28" s="227"/>
      <c r="L28" s="224">
        <v>22</v>
      </c>
      <c r="M28" s="227"/>
      <c r="N28" s="342"/>
      <c r="O28" s="227" t="s">
        <v>243</v>
      </c>
      <c r="P28" s="227" t="s">
        <v>27</v>
      </c>
      <c r="Q28" s="227" t="s">
        <v>273</v>
      </c>
    </row>
    <row r="30" spans="2:17" ht="14.45" customHeight="1">
      <c r="B30" s="503" t="s">
        <v>22</v>
      </c>
      <c r="C30" s="503" t="s">
        <v>244</v>
      </c>
      <c r="D30" s="504" t="s">
        <v>233</v>
      </c>
      <c r="E30" s="504" t="s">
        <v>234</v>
      </c>
      <c r="F30" s="504" t="s">
        <v>245</v>
      </c>
      <c r="G30" s="504" t="s">
        <v>25</v>
      </c>
      <c r="H30" s="504" t="s">
        <v>23</v>
      </c>
      <c r="I30" s="504" t="s">
        <v>203</v>
      </c>
      <c r="J30" s="504" t="s">
        <v>204</v>
      </c>
      <c r="K30" s="504" t="s">
        <v>208</v>
      </c>
      <c r="L30" s="504" t="s">
        <v>205</v>
      </c>
      <c r="M30" s="504" t="s">
        <v>207</v>
      </c>
      <c r="N30" s="504" t="s">
        <v>197</v>
      </c>
      <c r="O30" s="504" t="s">
        <v>249</v>
      </c>
      <c r="P30" s="504" t="s">
        <v>206</v>
      </c>
      <c r="Q30" s="504" t="s">
        <v>733</v>
      </c>
    </row>
    <row r="31" spans="2:17" ht="14.45" customHeight="1">
      <c r="B31" s="449" t="s">
        <v>1098</v>
      </c>
      <c r="C31" s="225" t="s">
        <v>38</v>
      </c>
      <c r="D31" s="341" t="s">
        <v>217</v>
      </c>
      <c r="E31" s="224"/>
      <c r="F31" s="224"/>
      <c r="G31" s="224">
        <v>15</v>
      </c>
      <c r="H31" s="224"/>
      <c r="I31" s="224"/>
      <c r="J31" s="224"/>
      <c r="K31" s="224"/>
      <c r="L31" s="224">
        <v>1</v>
      </c>
      <c r="M31" s="224" t="s">
        <v>51</v>
      </c>
      <c r="N31" s="225"/>
      <c r="O31" s="224" t="s">
        <v>243</v>
      </c>
      <c r="P31" s="224" t="s">
        <v>216</v>
      </c>
      <c r="Q31" s="224" t="s">
        <v>24</v>
      </c>
    </row>
    <row r="32" spans="2:17" ht="14.45" customHeight="1">
      <c r="B32" s="449" t="s">
        <v>1097</v>
      </c>
      <c r="C32" s="225" t="s">
        <v>38</v>
      </c>
      <c r="D32" s="341" t="s">
        <v>218</v>
      </c>
      <c r="E32" s="224"/>
      <c r="F32" s="224"/>
      <c r="G32" s="224">
        <v>10</v>
      </c>
      <c r="H32" s="224"/>
      <c r="I32" s="224"/>
      <c r="J32" s="224"/>
      <c r="K32" s="224"/>
      <c r="L32" s="224">
        <v>2</v>
      </c>
      <c r="M32" s="224" t="s">
        <v>51</v>
      </c>
      <c r="N32" s="225"/>
      <c r="O32" s="224" t="s">
        <v>243</v>
      </c>
      <c r="P32" s="224" t="s">
        <v>216</v>
      </c>
      <c r="Q32" s="224" t="s">
        <v>24</v>
      </c>
    </row>
    <row r="33" spans="2:17" ht="14.45" customHeight="1">
      <c r="B33" s="449" t="s">
        <v>1095</v>
      </c>
      <c r="C33" s="225" t="s">
        <v>38</v>
      </c>
      <c r="D33" s="341" t="s">
        <v>238</v>
      </c>
      <c r="E33" s="224"/>
      <c r="F33" s="224"/>
      <c r="G33" s="224">
        <v>15</v>
      </c>
      <c r="H33" s="224"/>
      <c r="I33" s="224"/>
      <c r="J33" s="224"/>
      <c r="K33" s="224"/>
      <c r="L33" s="224">
        <v>3</v>
      </c>
      <c r="M33" s="224" t="s">
        <v>1303</v>
      </c>
      <c r="N33" s="225"/>
      <c r="O33" s="224" t="s">
        <v>243</v>
      </c>
      <c r="P33" s="224" t="s">
        <v>216</v>
      </c>
      <c r="Q33" s="224" t="s">
        <v>24</v>
      </c>
    </row>
    <row r="34" spans="2:17" ht="14.45" customHeight="1">
      <c r="B34" s="449" t="s">
        <v>1099</v>
      </c>
      <c r="C34" s="225" t="s">
        <v>38</v>
      </c>
      <c r="D34" s="341" t="s">
        <v>766</v>
      </c>
      <c r="E34" s="224"/>
      <c r="F34" s="224"/>
      <c r="G34" s="224">
        <v>12</v>
      </c>
      <c r="H34" s="224"/>
      <c r="I34" s="224"/>
      <c r="J34" s="224"/>
      <c r="K34" s="224"/>
      <c r="L34" s="224">
        <v>4</v>
      </c>
      <c r="M34" s="224" t="s">
        <v>1303</v>
      </c>
      <c r="N34" s="225"/>
      <c r="O34" s="224" t="s">
        <v>243</v>
      </c>
      <c r="P34" s="224" t="s">
        <v>216</v>
      </c>
      <c r="Q34" s="224" t="s">
        <v>24</v>
      </c>
    </row>
    <row r="35" spans="2:17" ht="14.45" customHeight="1">
      <c r="B35" s="449" t="s">
        <v>1093</v>
      </c>
      <c r="C35" s="225" t="s">
        <v>38</v>
      </c>
      <c r="D35" s="341" t="s">
        <v>235</v>
      </c>
      <c r="E35" s="224"/>
      <c r="F35" s="224"/>
      <c r="G35" s="224">
        <v>12</v>
      </c>
      <c r="H35" s="224"/>
      <c r="I35" s="224"/>
      <c r="J35" s="224"/>
      <c r="K35" s="224"/>
      <c r="L35" s="224">
        <v>5</v>
      </c>
      <c r="M35" s="224" t="s">
        <v>1303</v>
      </c>
      <c r="N35" s="225"/>
      <c r="O35" s="224" t="s">
        <v>243</v>
      </c>
      <c r="P35" s="224" t="s">
        <v>216</v>
      </c>
      <c r="Q35" s="224" t="s">
        <v>24</v>
      </c>
    </row>
    <row r="36" spans="2:17" ht="14.45" customHeight="1">
      <c r="B36" s="449" t="s">
        <v>1094</v>
      </c>
      <c r="C36" s="225" t="s">
        <v>38</v>
      </c>
      <c r="D36" s="341" t="s">
        <v>236</v>
      </c>
      <c r="E36" s="224"/>
      <c r="F36" s="224"/>
      <c r="G36" s="224">
        <v>12</v>
      </c>
      <c r="H36" s="224"/>
      <c r="I36" s="224"/>
      <c r="J36" s="224"/>
      <c r="K36" s="224"/>
      <c r="L36" s="224">
        <v>6</v>
      </c>
      <c r="M36" s="224" t="s">
        <v>1303</v>
      </c>
      <c r="N36" s="225"/>
      <c r="O36" s="224" t="s">
        <v>243</v>
      </c>
      <c r="P36" s="224" t="s">
        <v>216</v>
      </c>
      <c r="Q36" s="224" t="s">
        <v>24</v>
      </c>
    </row>
    <row r="37" spans="2:17" ht="14.45" customHeight="1">
      <c r="B37" s="449" t="s">
        <v>1096</v>
      </c>
      <c r="C37" s="225" t="s">
        <v>38</v>
      </c>
      <c r="D37" s="341" t="s">
        <v>237</v>
      </c>
      <c r="E37" s="224"/>
      <c r="F37" s="224"/>
      <c r="G37" s="224">
        <v>12</v>
      </c>
      <c r="H37" s="224"/>
      <c r="I37" s="224"/>
      <c r="J37" s="224"/>
      <c r="K37" s="224"/>
      <c r="L37" s="224">
        <v>7</v>
      </c>
      <c r="M37" s="224" t="s">
        <v>1303</v>
      </c>
      <c r="N37" s="225"/>
      <c r="O37" s="224" t="s">
        <v>243</v>
      </c>
      <c r="P37" s="224" t="s">
        <v>216</v>
      </c>
      <c r="Q37" s="224" t="s">
        <v>24</v>
      </c>
    </row>
    <row r="38" spans="2:17" ht="14.45" customHeight="1">
      <c r="B38" s="450" t="s">
        <v>1100</v>
      </c>
      <c r="C38" s="342" t="s">
        <v>38</v>
      </c>
      <c r="D38" s="343" t="s">
        <v>246</v>
      </c>
      <c r="E38" s="227"/>
      <c r="F38" s="227"/>
      <c r="G38" s="227"/>
      <c r="H38" s="227"/>
      <c r="I38" s="227"/>
      <c r="J38" s="227"/>
      <c r="K38" s="227"/>
      <c r="L38" s="227">
        <v>8</v>
      </c>
      <c r="M38" s="227"/>
      <c r="N38" s="342"/>
      <c r="O38" s="227" t="s">
        <v>243</v>
      </c>
      <c r="P38" s="227" t="s">
        <v>216</v>
      </c>
      <c r="Q38" s="227" t="s">
        <v>273</v>
      </c>
    </row>
    <row r="39" spans="2:17" ht="14.45" customHeight="1">
      <c r="B39" s="35"/>
      <c r="C39" s="18"/>
      <c r="D39" s="1"/>
      <c r="N39" s="18"/>
    </row>
    <row r="41" spans="2:17" ht="14.45" customHeight="1">
      <c r="B41" s="503" t="s">
        <v>22</v>
      </c>
      <c r="C41" s="503" t="s">
        <v>244</v>
      </c>
      <c r="D41" s="504" t="s">
        <v>233</v>
      </c>
      <c r="E41" s="504" t="s">
        <v>234</v>
      </c>
      <c r="F41" s="504" t="s">
        <v>245</v>
      </c>
      <c r="G41" s="504" t="s">
        <v>25</v>
      </c>
      <c r="H41" s="504" t="s">
        <v>23</v>
      </c>
      <c r="I41" s="504" t="s">
        <v>203</v>
      </c>
      <c r="J41" s="504" t="s">
        <v>204</v>
      </c>
      <c r="K41" s="504" t="s">
        <v>208</v>
      </c>
      <c r="L41" s="504" t="s">
        <v>205</v>
      </c>
      <c r="M41" s="504" t="s">
        <v>207</v>
      </c>
      <c r="N41" s="504" t="s">
        <v>197</v>
      </c>
      <c r="O41" s="504" t="s">
        <v>249</v>
      </c>
      <c r="P41" s="504" t="s">
        <v>206</v>
      </c>
      <c r="Q41" s="504" t="s">
        <v>733</v>
      </c>
    </row>
    <row r="42" spans="2:17" ht="14.45" customHeight="1">
      <c r="B42" s="449" t="s">
        <v>1104</v>
      </c>
      <c r="C42" s="225" t="s">
        <v>38</v>
      </c>
      <c r="D42" s="341" t="s">
        <v>1682</v>
      </c>
      <c r="E42" s="224"/>
      <c r="F42" s="224"/>
      <c r="G42" s="224">
        <v>15</v>
      </c>
      <c r="H42" s="224"/>
      <c r="I42" s="224"/>
      <c r="J42" s="224"/>
      <c r="K42" s="224"/>
      <c r="L42" s="224">
        <v>1</v>
      </c>
      <c r="M42" s="224" t="s">
        <v>1305</v>
      </c>
      <c r="N42" s="225"/>
      <c r="O42" s="224" t="s">
        <v>243</v>
      </c>
      <c r="P42" s="224" t="s">
        <v>219</v>
      </c>
      <c r="Q42" s="224" t="s">
        <v>736</v>
      </c>
    </row>
    <row r="43" spans="2:17" ht="14.45" customHeight="1">
      <c r="B43" s="449" t="s">
        <v>1102</v>
      </c>
      <c r="C43" s="225" t="s">
        <v>38</v>
      </c>
      <c r="D43" s="341" t="s">
        <v>220</v>
      </c>
      <c r="E43" s="224"/>
      <c r="F43" s="224"/>
      <c r="G43" s="224">
        <v>10</v>
      </c>
      <c r="H43" s="224"/>
      <c r="I43" s="224"/>
      <c r="J43" s="224"/>
      <c r="K43" s="224"/>
      <c r="L43" s="224">
        <v>2</v>
      </c>
      <c r="M43" s="224" t="s">
        <v>1305</v>
      </c>
      <c r="N43" s="225"/>
      <c r="O43" s="224" t="s">
        <v>243</v>
      </c>
      <c r="P43" s="224" t="s">
        <v>219</v>
      </c>
      <c r="Q43" s="224" t="s">
        <v>736</v>
      </c>
    </row>
    <row r="44" spans="2:17" ht="14.45" customHeight="1">
      <c r="B44" s="449" t="s">
        <v>1103</v>
      </c>
      <c r="C44" s="225" t="s">
        <v>38</v>
      </c>
      <c r="D44" s="341" t="s">
        <v>222</v>
      </c>
      <c r="E44" s="224"/>
      <c r="F44" s="224"/>
      <c r="G44" s="224">
        <v>15</v>
      </c>
      <c r="H44" s="224"/>
      <c r="I44" s="224"/>
      <c r="J44" s="224"/>
      <c r="K44" s="224"/>
      <c r="L44" s="224">
        <v>3</v>
      </c>
      <c r="M44" s="224" t="s">
        <v>49</v>
      </c>
      <c r="N44" s="225"/>
      <c r="O44" s="224" t="s">
        <v>243</v>
      </c>
      <c r="P44" s="224" t="s">
        <v>219</v>
      </c>
      <c r="Q44" s="224" t="s">
        <v>736</v>
      </c>
    </row>
    <row r="45" spans="2:17" ht="14.45" customHeight="1">
      <c r="B45" s="449" t="s">
        <v>1108</v>
      </c>
      <c r="C45" s="225" t="s">
        <v>38</v>
      </c>
      <c r="D45" s="341" t="s">
        <v>242</v>
      </c>
      <c r="E45" s="224"/>
      <c r="F45" s="224"/>
      <c r="G45" s="224">
        <v>15</v>
      </c>
      <c r="H45" s="224"/>
      <c r="I45" s="224"/>
      <c r="J45" s="224"/>
      <c r="K45" s="224"/>
      <c r="L45" s="224">
        <v>4</v>
      </c>
      <c r="M45" s="224" t="s">
        <v>1305</v>
      </c>
      <c r="N45" s="225"/>
      <c r="O45" s="224" t="s">
        <v>243</v>
      </c>
      <c r="P45" s="224" t="s">
        <v>219</v>
      </c>
      <c r="Q45" s="224" t="s">
        <v>736</v>
      </c>
    </row>
    <row r="46" spans="2:17" ht="14.45" customHeight="1">
      <c r="B46" s="449" t="s">
        <v>1105</v>
      </c>
      <c r="C46" s="225" t="s">
        <v>38</v>
      </c>
      <c r="D46" s="341" t="s">
        <v>223</v>
      </c>
      <c r="E46" s="224"/>
      <c r="F46" s="224"/>
      <c r="G46" s="224">
        <v>15</v>
      </c>
      <c r="H46" s="224"/>
      <c r="I46" s="224"/>
      <c r="J46" s="224"/>
      <c r="K46" s="224"/>
      <c r="L46" s="224">
        <v>5</v>
      </c>
      <c r="M46" s="224" t="s">
        <v>49</v>
      </c>
      <c r="N46" s="225"/>
      <c r="O46" s="224" t="s">
        <v>243</v>
      </c>
      <c r="P46" s="224" t="s">
        <v>219</v>
      </c>
      <c r="Q46" s="224" t="s">
        <v>734</v>
      </c>
    </row>
    <row r="47" spans="2:17" ht="14.45" customHeight="1">
      <c r="B47" s="449" t="s">
        <v>1106</v>
      </c>
      <c r="C47" s="225" t="s">
        <v>38</v>
      </c>
      <c r="D47" s="341" t="s">
        <v>224</v>
      </c>
      <c r="E47" s="224"/>
      <c r="F47" s="224"/>
      <c r="G47" s="224">
        <v>15</v>
      </c>
      <c r="H47" s="224"/>
      <c r="I47" s="224"/>
      <c r="J47" s="224"/>
      <c r="K47" s="224"/>
      <c r="L47" s="224">
        <v>6</v>
      </c>
      <c r="M47" s="224" t="s">
        <v>49</v>
      </c>
      <c r="N47" s="225"/>
      <c r="O47" s="224" t="s">
        <v>243</v>
      </c>
      <c r="P47" s="224" t="s">
        <v>219</v>
      </c>
      <c r="Q47" s="224" t="s">
        <v>1242</v>
      </c>
    </row>
    <row r="48" spans="2:17" ht="14.45" customHeight="1">
      <c r="B48" s="449" t="s">
        <v>1101</v>
      </c>
      <c r="C48" s="225" t="s">
        <v>38</v>
      </c>
      <c r="D48" s="341" t="s">
        <v>221</v>
      </c>
      <c r="E48" s="224"/>
      <c r="F48" s="224"/>
      <c r="G48" s="224">
        <v>15</v>
      </c>
      <c r="H48" s="224"/>
      <c r="I48" s="224"/>
      <c r="J48" s="224"/>
      <c r="K48" s="224"/>
      <c r="L48" s="224">
        <v>7</v>
      </c>
      <c r="M48" s="224" t="s">
        <v>1305</v>
      </c>
      <c r="N48" s="225"/>
      <c r="O48" s="224" t="s">
        <v>243</v>
      </c>
      <c r="P48" s="224" t="s">
        <v>219</v>
      </c>
      <c r="Q48" s="224" t="s">
        <v>24</v>
      </c>
    </row>
    <row r="49" spans="2:17" ht="14.45" customHeight="1">
      <c r="B49" s="450" t="s">
        <v>1107</v>
      </c>
      <c r="C49" s="342" t="s">
        <v>38</v>
      </c>
      <c r="D49" s="343" t="s">
        <v>246</v>
      </c>
      <c r="E49" s="227"/>
      <c r="F49" s="227"/>
      <c r="G49" s="227"/>
      <c r="H49" s="227"/>
      <c r="I49" s="227"/>
      <c r="J49" s="227"/>
      <c r="K49" s="227"/>
      <c r="L49" s="227">
        <v>8</v>
      </c>
      <c r="M49" s="227"/>
      <c r="N49" s="342"/>
      <c r="O49" s="227" t="s">
        <v>243</v>
      </c>
      <c r="P49" s="227" t="s">
        <v>219</v>
      </c>
      <c r="Q49" s="227" t="s">
        <v>273</v>
      </c>
    </row>
    <row r="52" spans="2:17" ht="14.45" customHeight="1">
      <c r="B52" s="503" t="s">
        <v>22</v>
      </c>
      <c r="C52" s="503" t="s">
        <v>244</v>
      </c>
      <c r="D52" s="504" t="s">
        <v>233</v>
      </c>
      <c r="E52" s="504" t="s">
        <v>234</v>
      </c>
      <c r="F52" s="504" t="s">
        <v>245</v>
      </c>
      <c r="G52" s="504" t="s">
        <v>25</v>
      </c>
      <c r="H52" s="504" t="s">
        <v>23</v>
      </c>
      <c r="I52" s="504" t="s">
        <v>203</v>
      </c>
      <c r="J52" s="504" t="s">
        <v>204</v>
      </c>
      <c r="K52" s="504" t="s">
        <v>208</v>
      </c>
      <c r="L52" s="504" t="s">
        <v>205</v>
      </c>
      <c r="M52" s="504" t="s">
        <v>207</v>
      </c>
      <c r="N52" s="504" t="s">
        <v>197</v>
      </c>
      <c r="O52" s="504" t="s">
        <v>249</v>
      </c>
      <c r="P52" s="504" t="s">
        <v>206</v>
      </c>
      <c r="Q52" s="504" t="s">
        <v>733</v>
      </c>
    </row>
    <row r="53" spans="2:17" ht="14.45" customHeight="1">
      <c r="B53" s="449" t="s">
        <v>1109</v>
      </c>
      <c r="C53" s="225" t="s">
        <v>38</v>
      </c>
      <c r="D53" s="341" t="s">
        <v>229</v>
      </c>
      <c r="E53" s="224"/>
      <c r="F53" s="224"/>
      <c r="G53" s="224">
        <v>15</v>
      </c>
      <c r="H53" s="224"/>
      <c r="I53" s="224"/>
      <c r="J53" s="224"/>
      <c r="K53" s="224"/>
      <c r="L53" s="224">
        <v>1</v>
      </c>
      <c r="M53" s="224" t="s">
        <v>761</v>
      </c>
      <c r="N53" s="225"/>
      <c r="O53" s="224" t="s">
        <v>243</v>
      </c>
      <c r="P53" s="224" t="s">
        <v>225</v>
      </c>
      <c r="Q53" s="224" t="s">
        <v>736</v>
      </c>
    </row>
    <row r="54" spans="2:17" ht="14.45" customHeight="1">
      <c r="B54" s="449" t="s">
        <v>1110</v>
      </c>
      <c r="C54" s="225" t="s">
        <v>38</v>
      </c>
      <c r="D54" s="341" t="s">
        <v>228</v>
      </c>
      <c r="E54" s="224"/>
      <c r="F54" s="224"/>
      <c r="G54" s="224">
        <v>15</v>
      </c>
      <c r="H54" s="224"/>
      <c r="I54" s="224"/>
      <c r="J54" s="224"/>
      <c r="K54" s="224"/>
      <c r="L54" s="224">
        <v>2</v>
      </c>
      <c r="M54" s="224" t="s">
        <v>29</v>
      </c>
      <c r="N54" s="225"/>
      <c r="O54" s="224" t="s">
        <v>243</v>
      </c>
      <c r="P54" s="224" t="s">
        <v>225</v>
      </c>
      <c r="Q54" s="224" t="s">
        <v>736</v>
      </c>
    </row>
    <row r="55" spans="2:17" ht="14.45" customHeight="1">
      <c r="B55" s="449" t="s">
        <v>1111</v>
      </c>
      <c r="C55" s="225" t="s">
        <v>38</v>
      </c>
      <c r="D55" s="341" t="s">
        <v>247</v>
      </c>
      <c r="E55" s="224"/>
      <c r="F55" s="224"/>
      <c r="G55" s="224">
        <v>15</v>
      </c>
      <c r="H55" s="224"/>
      <c r="I55" s="224"/>
      <c r="J55" s="224"/>
      <c r="K55" s="224"/>
      <c r="L55" s="224">
        <v>3</v>
      </c>
      <c r="M55" s="224" t="s">
        <v>761</v>
      </c>
      <c r="N55" s="225"/>
      <c r="O55" s="224" t="s">
        <v>243</v>
      </c>
      <c r="P55" s="224" t="s">
        <v>225</v>
      </c>
      <c r="Q55" s="224" t="s">
        <v>736</v>
      </c>
    </row>
    <row r="56" spans="2:17" ht="14.45" customHeight="1">
      <c r="B56" s="449" t="s">
        <v>1112</v>
      </c>
      <c r="C56" s="225" t="s">
        <v>38</v>
      </c>
      <c r="D56" s="341" t="s">
        <v>248</v>
      </c>
      <c r="E56" s="224"/>
      <c r="F56" s="224"/>
      <c r="G56" s="224">
        <v>15</v>
      </c>
      <c r="H56" s="224"/>
      <c r="I56" s="224"/>
      <c r="J56" s="224"/>
      <c r="K56" s="224"/>
      <c r="L56" s="224">
        <v>4</v>
      </c>
      <c r="M56" s="224" t="s">
        <v>761</v>
      </c>
      <c r="N56" s="225"/>
      <c r="O56" s="224" t="s">
        <v>243</v>
      </c>
      <c r="P56" s="224" t="s">
        <v>225</v>
      </c>
      <c r="Q56" s="224" t="s">
        <v>736</v>
      </c>
    </row>
    <row r="57" spans="2:17" ht="14.45" customHeight="1">
      <c r="B57" s="449" t="s">
        <v>1248</v>
      </c>
      <c r="C57" s="225" t="s">
        <v>38</v>
      </c>
      <c r="D57" s="341" t="s">
        <v>1235</v>
      </c>
      <c r="E57" s="224"/>
      <c r="F57" s="224"/>
      <c r="G57" s="224">
        <v>15</v>
      </c>
      <c r="H57" s="224"/>
      <c r="I57" s="224"/>
      <c r="J57" s="224"/>
      <c r="K57" s="224"/>
      <c r="L57" s="224">
        <v>5</v>
      </c>
      <c r="M57" s="224" t="s">
        <v>761</v>
      </c>
      <c r="N57" s="225"/>
      <c r="O57" s="224" t="s">
        <v>243</v>
      </c>
      <c r="P57" s="224" t="s">
        <v>225</v>
      </c>
      <c r="Q57" s="224" t="s">
        <v>736</v>
      </c>
    </row>
    <row r="58" spans="2:17" ht="14.45" customHeight="1">
      <c r="B58" s="449" t="s">
        <v>1114</v>
      </c>
      <c r="C58" s="225" t="s">
        <v>38</v>
      </c>
      <c r="D58" s="341" t="s">
        <v>242</v>
      </c>
      <c r="E58" s="224"/>
      <c r="F58" s="224"/>
      <c r="G58" s="224">
        <v>15</v>
      </c>
      <c r="H58" s="224"/>
      <c r="I58" s="224"/>
      <c r="J58" s="224"/>
      <c r="K58" s="224"/>
      <c r="L58" s="224">
        <v>6</v>
      </c>
      <c r="M58" s="224" t="s">
        <v>1305</v>
      </c>
      <c r="N58" s="225"/>
      <c r="O58" s="224" t="s">
        <v>243</v>
      </c>
      <c r="P58" s="224" t="s">
        <v>225</v>
      </c>
      <c r="Q58" s="224" t="s">
        <v>736</v>
      </c>
    </row>
    <row r="59" spans="2:17" ht="14.45" customHeight="1">
      <c r="B59" s="449" t="s">
        <v>1115</v>
      </c>
      <c r="C59" s="225" t="s">
        <v>38</v>
      </c>
      <c r="D59" s="341" t="s">
        <v>226</v>
      </c>
      <c r="E59" s="224"/>
      <c r="F59" s="224"/>
      <c r="G59" s="224">
        <v>10</v>
      </c>
      <c r="H59" s="224"/>
      <c r="I59" s="224"/>
      <c r="J59" s="224"/>
      <c r="K59" s="224"/>
      <c r="L59" s="224">
        <v>8</v>
      </c>
      <c r="M59" s="224" t="s">
        <v>761</v>
      </c>
      <c r="N59" s="225"/>
      <c r="O59" s="224" t="s">
        <v>243</v>
      </c>
      <c r="P59" s="224" t="s">
        <v>225</v>
      </c>
      <c r="Q59" s="224" t="s">
        <v>736</v>
      </c>
    </row>
    <row r="60" spans="2:17" ht="14.45" customHeight="1">
      <c r="B60" s="449" t="s">
        <v>1116</v>
      </c>
      <c r="C60" s="225" t="s">
        <v>38</v>
      </c>
      <c r="D60" s="341" t="s">
        <v>285</v>
      </c>
      <c r="E60" s="224"/>
      <c r="F60" s="224"/>
      <c r="G60" s="224">
        <v>15</v>
      </c>
      <c r="H60" s="224"/>
      <c r="I60" s="224"/>
      <c r="J60" s="224"/>
      <c r="K60" s="224"/>
      <c r="L60" s="224">
        <v>9</v>
      </c>
      <c r="M60" s="224" t="s">
        <v>761</v>
      </c>
      <c r="N60" s="225"/>
      <c r="O60" s="224" t="s">
        <v>243</v>
      </c>
      <c r="P60" s="224" t="s">
        <v>225</v>
      </c>
      <c r="Q60" s="224" t="s">
        <v>736</v>
      </c>
    </row>
    <row r="61" spans="2:17" ht="14.45" customHeight="1">
      <c r="B61" s="449" t="s">
        <v>1117</v>
      </c>
      <c r="C61" s="225" t="s">
        <v>38</v>
      </c>
      <c r="D61" s="341" t="s">
        <v>227</v>
      </c>
      <c r="E61" s="224"/>
      <c r="F61" s="224"/>
      <c r="G61" s="224">
        <v>15</v>
      </c>
      <c r="H61" s="224"/>
      <c r="I61" s="224"/>
      <c r="J61" s="224"/>
      <c r="K61" s="224"/>
      <c r="L61" s="224">
        <v>10</v>
      </c>
      <c r="M61" s="224" t="s">
        <v>761</v>
      </c>
      <c r="N61" s="225"/>
      <c r="O61" s="224" t="s">
        <v>243</v>
      </c>
      <c r="P61" s="224" t="s">
        <v>225</v>
      </c>
      <c r="Q61" s="224" t="s">
        <v>736</v>
      </c>
    </row>
    <row r="62" spans="2:17" ht="14.45" customHeight="1">
      <c r="B62" s="450" t="s">
        <v>1113</v>
      </c>
      <c r="C62" s="342" t="s">
        <v>38</v>
      </c>
      <c r="D62" s="343" t="s">
        <v>246</v>
      </c>
      <c r="E62" s="227"/>
      <c r="F62" s="227"/>
      <c r="G62" s="227"/>
      <c r="H62" s="227"/>
      <c r="I62" s="227"/>
      <c r="J62" s="227"/>
      <c r="K62" s="227"/>
      <c r="L62" s="227">
        <v>11</v>
      </c>
      <c r="M62" s="227"/>
      <c r="N62" s="342"/>
      <c r="O62" s="227" t="s">
        <v>243</v>
      </c>
      <c r="P62" s="227" t="s">
        <v>225</v>
      </c>
      <c r="Q62" s="227" t="s">
        <v>273</v>
      </c>
    </row>
    <row r="65" spans="2:17" ht="14.45" customHeight="1">
      <c r="B65" s="503" t="s">
        <v>22</v>
      </c>
      <c r="C65" s="503" t="s">
        <v>244</v>
      </c>
      <c r="D65" s="504" t="s">
        <v>233</v>
      </c>
      <c r="E65" s="504" t="s">
        <v>234</v>
      </c>
      <c r="F65" s="504" t="s">
        <v>245</v>
      </c>
      <c r="G65" s="504" t="s">
        <v>25</v>
      </c>
      <c r="H65" s="504" t="s">
        <v>23</v>
      </c>
      <c r="I65" s="504" t="s">
        <v>203</v>
      </c>
      <c r="J65" s="504" t="s">
        <v>204</v>
      </c>
      <c r="K65" s="504" t="s">
        <v>208</v>
      </c>
      <c r="L65" s="504" t="s">
        <v>205</v>
      </c>
      <c r="M65" s="504" t="s">
        <v>207</v>
      </c>
      <c r="N65" s="504" t="s">
        <v>197</v>
      </c>
      <c r="O65" s="504" t="s">
        <v>249</v>
      </c>
      <c r="P65" s="504" t="s">
        <v>206</v>
      </c>
      <c r="Q65" s="504" t="s">
        <v>733</v>
      </c>
    </row>
    <row r="66" spans="2:17" ht="14.45" customHeight="1">
      <c r="B66" s="449" t="s">
        <v>1118</v>
      </c>
      <c r="C66" s="225" t="s">
        <v>38</v>
      </c>
      <c r="D66" s="341" t="s">
        <v>240</v>
      </c>
      <c r="E66" s="224"/>
      <c r="F66" s="224"/>
      <c r="G66" s="224">
        <v>12</v>
      </c>
      <c r="H66" s="224"/>
      <c r="I66" s="224"/>
      <c r="J66" s="224"/>
      <c r="K66" s="224"/>
      <c r="L66" s="224">
        <v>1</v>
      </c>
      <c r="M66" s="224" t="s">
        <v>29</v>
      </c>
      <c r="N66" s="225"/>
      <c r="O66" s="224" t="s">
        <v>243</v>
      </c>
      <c r="P66" s="224" t="s">
        <v>29</v>
      </c>
      <c r="Q66" s="224" t="s">
        <v>737</v>
      </c>
    </row>
    <row r="67" spans="2:17" ht="14.45" customHeight="1">
      <c r="B67" s="449" t="s">
        <v>1119</v>
      </c>
      <c r="C67" s="225" t="s">
        <v>38</v>
      </c>
      <c r="D67" s="341" t="s">
        <v>239</v>
      </c>
      <c r="E67" s="224"/>
      <c r="F67" s="224"/>
      <c r="G67" s="224">
        <v>12</v>
      </c>
      <c r="H67" s="224"/>
      <c r="I67" s="224"/>
      <c r="J67" s="224"/>
      <c r="K67" s="224"/>
      <c r="L67" s="224">
        <v>2</v>
      </c>
      <c r="M67" s="224" t="s">
        <v>29</v>
      </c>
      <c r="N67" s="225"/>
      <c r="O67" s="224" t="s">
        <v>243</v>
      </c>
      <c r="P67" s="224" t="s">
        <v>29</v>
      </c>
      <c r="Q67" s="224" t="s">
        <v>737</v>
      </c>
    </row>
    <row r="68" spans="2:17" ht="14.45" customHeight="1">
      <c r="B68" s="449" t="s">
        <v>1121</v>
      </c>
      <c r="C68" s="225" t="s">
        <v>38</v>
      </c>
      <c r="D68" s="341" t="s">
        <v>228</v>
      </c>
      <c r="E68" s="224"/>
      <c r="F68" s="224"/>
      <c r="G68" s="224">
        <v>15</v>
      </c>
      <c r="H68" s="224"/>
      <c r="I68" s="224"/>
      <c r="J68" s="224"/>
      <c r="K68" s="224"/>
      <c r="L68" s="224">
        <v>3</v>
      </c>
      <c r="M68" s="224" t="s">
        <v>29</v>
      </c>
      <c r="N68" s="225"/>
      <c r="O68" s="224" t="s">
        <v>243</v>
      </c>
      <c r="P68" s="224" t="s">
        <v>29</v>
      </c>
      <c r="Q68" s="224" t="s">
        <v>736</v>
      </c>
    </row>
    <row r="69" spans="2:17" ht="14.45" customHeight="1">
      <c r="B69" s="449" t="s">
        <v>1122</v>
      </c>
      <c r="C69" s="225" t="s">
        <v>38</v>
      </c>
      <c r="D69" s="341" t="s">
        <v>231</v>
      </c>
      <c r="E69" s="224"/>
      <c r="F69" s="224"/>
      <c r="G69" s="224">
        <v>12</v>
      </c>
      <c r="H69" s="224"/>
      <c r="I69" s="224"/>
      <c r="J69" s="224"/>
      <c r="K69" s="224"/>
      <c r="L69" s="224">
        <v>4</v>
      </c>
      <c r="M69" s="224" t="s">
        <v>29</v>
      </c>
      <c r="N69" s="225"/>
      <c r="O69" s="224" t="s">
        <v>243</v>
      </c>
      <c r="P69" s="224" t="s">
        <v>29</v>
      </c>
      <c r="Q69" s="224" t="s">
        <v>1926</v>
      </c>
    </row>
    <row r="70" spans="2:17" ht="14.45" customHeight="1">
      <c r="B70" s="449" t="s">
        <v>1124</v>
      </c>
      <c r="C70" s="225" t="s">
        <v>38</v>
      </c>
      <c r="D70" s="341" t="s">
        <v>230</v>
      </c>
      <c r="E70" s="224"/>
      <c r="F70" s="224"/>
      <c r="G70" s="224">
        <v>12</v>
      </c>
      <c r="H70" s="224"/>
      <c r="I70" s="224"/>
      <c r="J70" s="224"/>
      <c r="K70" s="224"/>
      <c r="L70" s="224">
        <v>5</v>
      </c>
      <c r="M70" s="224" t="s">
        <v>29</v>
      </c>
      <c r="N70" s="225"/>
      <c r="O70" s="224" t="s">
        <v>243</v>
      </c>
      <c r="P70" s="224" t="s">
        <v>29</v>
      </c>
      <c r="Q70" s="224" t="s">
        <v>1926</v>
      </c>
    </row>
    <row r="71" spans="2:17" ht="14.45" customHeight="1">
      <c r="B71" s="449" t="s">
        <v>1120</v>
      </c>
      <c r="C71" s="225" t="s">
        <v>38</v>
      </c>
      <c r="D71" s="341" t="s">
        <v>296</v>
      </c>
      <c r="E71" s="224"/>
      <c r="F71" s="224"/>
      <c r="G71" s="224">
        <v>15</v>
      </c>
      <c r="H71" s="224"/>
      <c r="I71" s="224"/>
      <c r="J71" s="224"/>
      <c r="K71" s="224"/>
      <c r="L71" s="224">
        <v>6</v>
      </c>
      <c r="M71" s="224" t="s">
        <v>29</v>
      </c>
      <c r="N71" s="225"/>
      <c r="O71" s="224" t="s">
        <v>243</v>
      </c>
      <c r="P71" s="224" t="s">
        <v>29</v>
      </c>
      <c r="Q71" s="224" t="s">
        <v>736</v>
      </c>
    </row>
    <row r="72" spans="2:17" ht="14.45" customHeight="1">
      <c r="B72" s="450" t="s">
        <v>1123</v>
      </c>
      <c r="C72" s="342" t="s">
        <v>38</v>
      </c>
      <c r="D72" s="343" t="s">
        <v>246</v>
      </c>
      <c r="E72" s="227"/>
      <c r="F72" s="227"/>
      <c r="G72" s="227"/>
      <c r="H72" s="227"/>
      <c r="I72" s="227"/>
      <c r="J72" s="227"/>
      <c r="K72" s="227"/>
      <c r="L72" s="227">
        <v>7</v>
      </c>
      <c r="M72" s="227"/>
      <c r="N72" s="342"/>
      <c r="O72" s="227" t="s">
        <v>243</v>
      </c>
      <c r="P72" s="227" t="s">
        <v>29</v>
      </c>
      <c r="Q72" s="227" t="s">
        <v>273</v>
      </c>
    </row>
    <row r="75" spans="2:17" ht="14.45" customHeight="1">
      <c r="B75" s="503" t="s">
        <v>22</v>
      </c>
      <c r="C75" s="503" t="s">
        <v>244</v>
      </c>
      <c r="D75" s="504" t="s">
        <v>233</v>
      </c>
      <c r="E75" s="504" t="s">
        <v>234</v>
      </c>
      <c r="F75" s="504" t="s">
        <v>245</v>
      </c>
      <c r="G75" s="504" t="s">
        <v>25</v>
      </c>
      <c r="H75" s="504" t="s">
        <v>23</v>
      </c>
      <c r="I75" s="504" t="s">
        <v>203</v>
      </c>
      <c r="J75" s="504" t="s">
        <v>204</v>
      </c>
      <c r="K75" s="504" t="s">
        <v>208</v>
      </c>
      <c r="L75" s="504" t="s">
        <v>205</v>
      </c>
      <c r="M75" s="504" t="s">
        <v>207</v>
      </c>
      <c r="N75" s="504" t="s">
        <v>197</v>
      </c>
      <c r="O75" s="504" t="s">
        <v>249</v>
      </c>
      <c r="P75" s="504" t="s">
        <v>206</v>
      </c>
      <c r="Q75" s="504" t="s">
        <v>733</v>
      </c>
    </row>
    <row r="76" spans="2:17" ht="14.45" customHeight="1">
      <c r="B76" s="449" t="s">
        <v>1125</v>
      </c>
      <c r="C76" s="225" t="s">
        <v>38</v>
      </c>
      <c r="D76" s="341" t="s">
        <v>232</v>
      </c>
      <c r="E76" s="224"/>
      <c r="F76" s="224"/>
      <c r="G76" s="224">
        <v>20</v>
      </c>
      <c r="H76" s="224"/>
      <c r="I76" s="224"/>
      <c r="J76" s="224"/>
      <c r="K76" s="224"/>
      <c r="L76" s="224">
        <v>1</v>
      </c>
      <c r="M76" s="224" t="s">
        <v>194</v>
      </c>
      <c r="N76" s="225"/>
      <c r="O76" s="224" t="s">
        <v>243</v>
      </c>
      <c r="P76" s="224" t="s">
        <v>195</v>
      </c>
      <c r="Q76" s="224" t="s">
        <v>738</v>
      </c>
    </row>
    <row r="77" spans="2:17" ht="14.45" customHeight="1">
      <c r="B77" s="449" t="s">
        <v>1126</v>
      </c>
      <c r="C77" s="225" t="s">
        <v>38</v>
      </c>
      <c r="D77" s="341" t="s">
        <v>214</v>
      </c>
      <c r="E77" s="224"/>
      <c r="F77" s="224"/>
      <c r="G77" s="224">
        <v>10</v>
      </c>
      <c r="H77" s="224"/>
      <c r="I77" s="224"/>
      <c r="J77" s="224"/>
      <c r="K77" s="224"/>
      <c r="L77" s="224">
        <v>2</v>
      </c>
      <c r="M77" s="224" t="s">
        <v>194</v>
      </c>
      <c r="N77" s="225"/>
      <c r="O77" s="224" t="s">
        <v>243</v>
      </c>
      <c r="P77" s="224" t="s">
        <v>195</v>
      </c>
      <c r="Q77" s="224" t="s">
        <v>739</v>
      </c>
    </row>
    <row r="78" spans="2:17" ht="14.45" customHeight="1">
      <c r="B78" s="450" t="s">
        <v>1127</v>
      </c>
      <c r="C78" s="342" t="s">
        <v>38</v>
      </c>
      <c r="D78" s="343" t="s">
        <v>215</v>
      </c>
      <c r="E78" s="227"/>
      <c r="F78" s="227"/>
      <c r="G78" s="227">
        <v>15</v>
      </c>
      <c r="H78" s="227"/>
      <c r="I78" s="227"/>
      <c r="J78" s="227"/>
      <c r="K78" s="227"/>
      <c r="L78" s="227">
        <v>3</v>
      </c>
      <c r="M78" s="227" t="s">
        <v>194</v>
      </c>
      <c r="N78" s="342"/>
      <c r="O78" s="227" t="s">
        <v>243</v>
      </c>
      <c r="P78" s="227" t="s">
        <v>195</v>
      </c>
      <c r="Q78" s="227" t="s">
        <v>739</v>
      </c>
    </row>
    <row r="79" spans="2:17" ht="14.45" customHeight="1">
      <c r="B79" s="449" t="s">
        <v>1929</v>
      </c>
      <c r="C79" s="225" t="s">
        <v>38</v>
      </c>
      <c r="D79" s="341" t="s">
        <v>1923</v>
      </c>
      <c r="E79" s="224"/>
      <c r="F79" s="224"/>
      <c r="G79" s="224">
        <v>15</v>
      </c>
      <c r="H79" s="224"/>
      <c r="I79" s="224"/>
      <c r="J79" s="224"/>
      <c r="K79" s="224"/>
      <c r="L79" s="224">
        <v>4</v>
      </c>
      <c r="M79" s="227" t="s">
        <v>194</v>
      </c>
      <c r="N79" s="225"/>
      <c r="O79" s="224" t="s">
        <v>243</v>
      </c>
      <c r="P79" s="224" t="s">
        <v>195</v>
      </c>
      <c r="Q79" s="227" t="s">
        <v>1924</v>
      </c>
    </row>
    <row r="80" spans="2:17" ht="14.45" customHeight="1">
      <c r="B80" s="260" t="s">
        <v>2033</v>
      </c>
      <c r="C80" s="225" t="s">
        <v>38</v>
      </c>
      <c r="D80" t="s">
        <v>194</v>
      </c>
      <c r="G80">
        <v>20</v>
      </c>
      <c r="L80">
        <v>5</v>
      </c>
      <c r="M80" s="227" t="s">
        <v>194</v>
      </c>
      <c r="O80" s="224" t="s">
        <v>243</v>
      </c>
      <c r="P80" s="224" t="s">
        <v>195</v>
      </c>
      <c r="Q80" t="s">
        <v>273</v>
      </c>
    </row>
    <row r="81" spans="2:17" ht="14.45" customHeight="1">
      <c r="B81" s="449" t="s">
        <v>1922</v>
      </c>
      <c r="C81" s="225" t="s">
        <v>38</v>
      </c>
      <c r="D81" s="341" t="s">
        <v>246</v>
      </c>
      <c r="E81" s="224"/>
      <c r="F81" s="224"/>
      <c r="G81" s="224"/>
      <c r="H81" s="224"/>
      <c r="I81" s="224"/>
      <c r="J81" s="224"/>
      <c r="K81" s="224"/>
      <c r="L81" s="224">
        <v>6</v>
      </c>
      <c r="M81" s="224"/>
      <c r="N81" s="225"/>
      <c r="O81" s="224" t="s">
        <v>243</v>
      </c>
      <c r="P81" s="224" t="s">
        <v>195</v>
      </c>
      <c r="Q81" s="224" t="s">
        <v>273</v>
      </c>
    </row>
  </sheetData>
  <sheetProtection algorithmName="SHA-512" hashValue="2ewwqq0cjIMFltEQfL297vSVNvArrcjRKi0v936R9WYYgA2Pc1m6iXF4i6VtPvKq8x6hEyeBSKyB4nrND9tQog==" saltValue="PpCxZwexs3+6UXq9gIifsA==" spinCount="100000" sheet="1" objects="1" scenarios="1"/>
  <phoneticPr fontId="135" type="noConversion"/>
  <conditionalFormatting sqref="B80">
    <cfRule type="duplicateValues" dxfId="154" priority="1"/>
  </conditionalFormatting>
  <pageMargins left="0" right="0" top="0" bottom="0" header="0" footer="0"/>
  <pageSetup orientation="portrait" r:id="rId1"/>
  <tableParts count="6">
    <tablePart r:id="rId2"/>
    <tablePart r:id="rId3"/>
    <tablePart r:id="rId4"/>
    <tablePart r:id="rId5"/>
    <tablePart r:id="rId6"/>
    <tablePart r:id="rId7"/>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theme="9" tint="0.59999389629810485"/>
  </sheetPr>
  <dimension ref="A1:CB37"/>
  <sheetViews>
    <sheetView zoomScale="85" zoomScaleNormal="85" workbookViewId="0"/>
  </sheetViews>
  <sheetFormatPr defaultColWidth="0" defaultRowHeight="15"/>
  <cols>
    <col min="1" max="1" width="3.7109375" customWidth="1"/>
    <col min="2" max="2" width="18" bestFit="1" customWidth="1"/>
    <col min="3" max="3" width="25.28515625" customWidth="1"/>
    <col min="4" max="4" width="4.7109375" customWidth="1"/>
    <col min="5" max="5" width="48.7109375" customWidth="1"/>
    <col min="6" max="16" width="7.7109375" customWidth="1"/>
    <col min="17" max="17" width="15.7109375" customWidth="1"/>
    <col min="18" max="18" width="6.7109375" customWidth="1"/>
    <col min="19" max="19" width="11.7109375" customWidth="1"/>
    <col min="20" max="20" width="18.7109375" customWidth="1"/>
    <col min="21" max="21" width="15.7109375" customWidth="1"/>
    <col min="22" max="22" width="11.7109375" customWidth="1"/>
    <col min="23" max="24" width="10.7109375" customWidth="1"/>
    <col min="25" max="25" width="31.7109375" customWidth="1"/>
    <col min="26" max="37" width="4.7109375" customWidth="1"/>
    <col min="62" max="62" width="38.140625" bestFit="1" customWidth="1"/>
    <col min="63" max="63" width="4.7109375" hidden="1" customWidth="1"/>
    <col min="64" max="71" width="0" hidden="1" customWidth="1"/>
    <col min="72" max="72" width="4.7109375" hidden="1" customWidth="1"/>
    <col min="73" max="80" width="0" hidden="1" customWidth="1"/>
    <col min="81" max="16384" width="4.7109375" hidden="1"/>
  </cols>
  <sheetData>
    <row r="1" spans="2:64" ht="29.45" customHeight="1"/>
    <row r="2" spans="2:64" ht="60">
      <c r="E2" s="1" t="s">
        <v>901</v>
      </c>
      <c r="F2" s="1" t="s">
        <v>302</v>
      </c>
      <c r="G2" s="1" t="s">
        <v>303</v>
      </c>
      <c r="H2" s="1" t="s">
        <v>304</v>
      </c>
      <c r="I2" s="1" t="s">
        <v>1152</v>
      </c>
      <c r="J2" s="447" t="s">
        <v>2213</v>
      </c>
      <c r="K2" s="1" t="s">
        <v>317</v>
      </c>
      <c r="L2" s="1" t="s">
        <v>318</v>
      </c>
      <c r="M2" s="1" t="s">
        <v>319</v>
      </c>
      <c r="N2" s="1" t="s">
        <v>1151</v>
      </c>
      <c r="O2" s="447" t="s">
        <v>2214</v>
      </c>
      <c r="P2" s="447" t="s">
        <v>2215</v>
      </c>
      <c r="Q2" s="1" t="s">
        <v>938</v>
      </c>
      <c r="R2" s="1" t="s">
        <v>25</v>
      </c>
      <c r="S2" s="1" t="s">
        <v>733</v>
      </c>
      <c r="T2" s="1" t="s">
        <v>1793</v>
      </c>
      <c r="U2" t="s">
        <v>1794</v>
      </c>
      <c r="V2" s="1" t="s">
        <v>1964</v>
      </c>
      <c r="W2" s="1" t="s">
        <v>1965</v>
      </c>
      <c r="X2" s="1" t="s">
        <v>1966</v>
      </c>
      <c r="Y2" s="1" t="s">
        <v>1967</v>
      </c>
    </row>
    <row r="3" spans="2:64">
      <c r="B3" s="17" t="s">
        <v>1674</v>
      </c>
      <c r="C3" s="17" t="s">
        <v>1679</v>
      </c>
      <c r="E3" t="s">
        <v>902</v>
      </c>
      <c r="F3">
        <v>0.9</v>
      </c>
      <c r="G3">
        <v>0.9</v>
      </c>
      <c r="H3">
        <v>0.8</v>
      </c>
      <c r="I3">
        <v>0.71</v>
      </c>
      <c r="J3">
        <v>0.75</v>
      </c>
      <c r="K3">
        <v>0.9</v>
      </c>
      <c r="L3">
        <v>0.82</v>
      </c>
      <c r="M3">
        <v>0.8</v>
      </c>
      <c r="N3">
        <v>0.71</v>
      </c>
      <c r="O3">
        <v>0.75</v>
      </c>
      <c r="P3">
        <v>0.73</v>
      </c>
      <c r="Q3" t="s">
        <v>741</v>
      </c>
      <c r="R3">
        <v>15</v>
      </c>
      <c r="S3" t="s">
        <v>939</v>
      </c>
      <c r="T3" s="273">
        <f>INDEX(Table71[CBECS 2012 Midwest Electricity Energy Intensity (kWh/sq ft)],MATCH(LPDWATT[[#This Row],[CBECS Building Activity]],Table71[Principal building activity],0))</f>
        <v>20.2</v>
      </c>
      <c r="U3" t="s">
        <v>30</v>
      </c>
      <c r="V3">
        <v>0.97</v>
      </c>
      <c r="W3">
        <v>4099</v>
      </c>
      <c r="X3">
        <v>1.1599999999999999</v>
      </c>
    </row>
    <row r="4" spans="2:64">
      <c r="B4" s="339">
        <v>0.2</v>
      </c>
      <c r="C4" s="338">
        <v>0.35</v>
      </c>
      <c r="E4" t="s">
        <v>903</v>
      </c>
      <c r="F4">
        <v>1.2</v>
      </c>
      <c r="G4">
        <v>1.2</v>
      </c>
      <c r="H4">
        <v>1.01</v>
      </c>
      <c r="I4">
        <v>0.76</v>
      </c>
      <c r="J4">
        <v>0.64</v>
      </c>
      <c r="K4">
        <v>1.2</v>
      </c>
      <c r="L4">
        <v>1.08</v>
      </c>
      <c r="M4">
        <v>1.01</v>
      </c>
      <c r="N4">
        <v>0.76</v>
      </c>
      <c r="O4">
        <v>0.64</v>
      </c>
      <c r="P4">
        <v>0.64</v>
      </c>
      <c r="Q4" t="s">
        <v>741</v>
      </c>
      <c r="R4">
        <v>15</v>
      </c>
      <c r="S4" t="s">
        <v>939</v>
      </c>
      <c r="T4" s="273">
        <f>INDEX(Table71[CBECS 2012 Midwest Electricity Energy Intensity (kWh/sq ft)],MATCH(LPDWATT[[#This Row],[CBECS Building Activity]],Table71[Principal building activity],0))</f>
        <v>13.2</v>
      </c>
      <c r="U4" t="s">
        <v>1795</v>
      </c>
      <c r="V4">
        <v>0.67</v>
      </c>
      <c r="W4">
        <v>3379</v>
      </c>
      <c r="X4">
        <v>1.08</v>
      </c>
      <c r="Y4" t="s">
        <v>1736</v>
      </c>
      <c r="BL4" s="69" t="s">
        <v>764</v>
      </c>
    </row>
    <row r="5" spans="2:64">
      <c r="B5" s="339">
        <v>0.3</v>
      </c>
      <c r="C5" s="338">
        <v>0.49</v>
      </c>
      <c r="E5" t="s">
        <v>904</v>
      </c>
      <c r="F5">
        <v>1.2</v>
      </c>
      <c r="G5">
        <v>1.2</v>
      </c>
      <c r="H5">
        <v>1.01</v>
      </c>
      <c r="I5">
        <v>0.9</v>
      </c>
      <c r="J5">
        <v>0.79</v>
      </c>
      <c r="K5">
        <v>1.2</v>
      </c>
      <c r="L5">
        <v>1.05</v>
      </c>
      <c r="M5">
        <v>1.01</v>
      </c>
      <c r="N5">
        <v>0.9</v>
      </c>
      <c r="O5">
        <v>0.79</v>
      </c>
      <c r="P5">
        <v>0.75</v>
      </c>
      <c r="Q5" t="s">
        <v>741</v>
      </c>
      <c r="R5">
        <v>15</v>
      </c>
      <c r="S5" t="s">
        <v>939</v>
      </c>
      <c r="T5" s="273">
        <f>INDEX(Table71[CBECS 2012 Midwest Electricity Energy Intensity (kWh/sq ft)],MATCH(LPDWATT[[#This Row],[CBECS Building Activity]],Table71[Principal building activity],0))</f>
        <v>10.3</v>
      </c>
      <c r="U5" t="s">
        <v>1810</v>
      </c>
      <c r="V5">
        <v>0.65</v>
      </c>
      <c r="W5">
        <v>2698</v>
      </c>
      <c r="X5">
        <v>1.06</v>
      </c>
      <c r="Y5" t="s">
        <v>1737</v>
      </c>
      <c r="BL5" t="s">
        <v>764</v>
      </c>
    </row>
    <row r="6" spans="2:64">
      <c r="B6" s="339">
        <v>0.4</v>
      </c>
      <c r="C6" s="338">
        <v>0.62</v>
      </c>
      <c r="E6" t="s">
        <v>905</v>
      </c>
      <c r="F6">
        <v>1.3</v>
      </c>
      <c r="G6">
        <v>1.3</v>
      </c>
      <c r="H6">
        <v>1.01</v>
      </c>
      <c r="I6">
        <v>0.9</v>
      </c>
      <c r="J6">
        <v>0.8</v>
      </c>
      <c r="K6">
        <v>1.3</v>
      </c>
      <c r="L6">
        <v>0.99</v>
      </c>
      <c r="M6">
        <v>1.01</v>
      </c>
      <c r="N6">
        <v>0.9</v>
      </c>
      <c r="O6">
        <v>0.8</v>
      </c>
      <c r="P6">
        <v>0.74</v>
      </c>
      <c r="Q6" t="s">
        <v>741</v>
      </c>
      <c r="R6">
        <v>15</v>
      </c>
      <c r="S6" t="s">
        <v>939</v>
      </c>
      <c r="T6" s="273">
        <f>INDEX(Table71[CBECS 2012 Midwest Electricity Energy Intensity (kWh/sq ft)],MATCH(LPDWATT[[#This Row],[CBECS Building Activity]],Table71[Principal building activity],0))</f>
        <v>43.1</v>
      </c>
      <c r="U6" t="s">
        <v>1805</v>
      </c>
      <c r="V6">
        <v>1</v>
      </c>
      <c r="W6">
        <v>5571</v>
      </c>
      <c r="X6">
        <v>1.08</v>
      </c>
    </row>
    <row r="7" spans="2:64">
      <c r="E7" t="s">
        <v>906</v>
      </c>
      <c r="F7">
        <v>1.4</v>
      </c>
      <c r="G7">
        <v>1.4</v>
      </c>
      <c r="H7">
        <v>0.9</v>
      </c>
      <c r="I7">
        <v>0.79</v>
      </c>
      <c r="J7">
        <v>0.76</v>
      </c>
      <c r="K7">
        <v>1.4</v>
      </c>
      <c r="L7">
        <v>0.9</v>
      </c>
      <c r="M7">
        <v>0.9</v>
      </c>
      <c r="N7">
        <v>0.79</v>
      </c>
      <c r="O7">
        <v>0.76</v>
      </c>
      <c r="P7">
        <v>0.7</v>
      </c>
      <c r="Q7" t="s">
        <v>741</v>
      </c>
      <c r="R7">
        <v>15</v>
      </c>
      <c r="S7" t="s">
        <v>939</v>
      </c>
      <c r="T7" s="273">
        <f>INDEX(Table71[CBECS 2012 Midwest Electricity Energy Intensity (kWh/sq ft)],MATCH(LPDWATT[[#This Row],[CBECS Building Activity]],Table71[Principal building activity],0))</f>
        <v>43.1</v>
      </c>
      <c r="U7" t="s">
        <v>1805</v>
      </c>
      <c r="V7">
        <v>1</v>
      </c>
      <c r="W7">
        <v>5571</v>
      </c>
      <c r="X7">
        <v>1.08</v>
      </c>
    </row>
    <row r="8" spans="2:64">
      <c r="E8" t="s">
        <v>907</v>
      </c>
      <c r="F8">
        <v>1.6</v>
      </c>
      <c r="G8">
        <v>1.6</v>
      </c>
      <c r="H8">
        <v>0.95</v>
      </c>
      <c r="I8">
        <v>0.78</v>
      </c>
      <c r="J8">
        <v>0.71</v>
      </c>
      <c r="K8">
        <v>1.6</v>
      </c>
      <c r="L8">
        <v>0.89</v>
      </c>
      <c r="M8">
        <v>0.95</v>
      </c>
      <c r="N8">
        <v>0.78</v>
      </c>
      <c r="O8">
        <v>0.71</v>
      </c>
      <c r="P8">
        <v>0.65</v>
      </c>
      <c r="Q8" t="s">
        <v>741</v>
      </c>
      <c r="R8">
        <v>15</v>
      </c>
      <c r="S8" t="s">
        <v>939</v>
      </c>
      <c r="T8" s="273">
        <f>INDEX(Table71[CBECS 2012 Midwest Electricity Energy Intensity (kWh/sq ft)],MATCH(LPDWATT[[#This Row],[CBECS Building Activity]],Table71[Principal building activity],0))</f>
        <v>43.1</v>
      </c>
      <c r="U8" t="s">
        <v>1805</v>
      </c>
      <c r="V8">
        <v>1</v>
      </c>
      <c r="W8">
        <v>5571</v>
      </c>
      <c r="X8">
        <v>1.08</v>
      </c>
    </row>
    <row r="9" spans="2:64" ht="15.75" thickBot="1">
      <c r="E9" t="s">
        <v>908</v>
      </c>
      <c r="F9">
        <v>1</v>
      </c>
      <c r="G9">
        <v>1</v>
      </c>
      <c r="H9">
        <v>0.56999999999999995</v>
      </c>
      <c r="I9">
        <v>0.61</v>
      </c>
      <c r="J9">
        <v>0.53</v>
      </c>
      <c r="K9">
        <v>1</v>
      </c>
      <c r="L9">
        <v>0.61</v>
      </c>
      <c r="M9">
        <v>0.56999999999999995</v>
      </c>
      <c r="N9">
        <v>0.61</v>
      </c>
      <c r="O9">
        <v>0.53</v>
      </c>
      <c r="P9">
        <v>0.52</v>
      </c>
      <c r="Q9" t="s">
        <v>741</v>
      </c>
      <c r="R9">
        <v>15</v>
      </c>
      <c r="S9" t="s">
        <v>939</v>
      </c>
      <c r="T9" s="273">
        <f>INDEX(Table71[CBECS 2012 Midwest Electricity Energy Intensity (kWh/sq ft)],MATCH(LPDWATT[[#This Row],[CBECS Building Activity]],Table71[Principal building activity],0))</f>
        <v>15.4</v>
      </c>
      <c r="U9" t="s">
        <v>1801</v>
      </c>
      <c r="V9">
        <v>0.66</v>
      </c>
      <c r="W9">
        <v>7862</v>
      </c>
      <c r="X9">
        <v>1.1399999999999999</v>
      </c>
      <c r="Y9" t="s">
        <v>1738</v>
      </c>
    </row>
    <row r="10" spans="2:64" ht="15.75" thickBot="1">
      <c r="B10" s="346" t="s">
        <v>1770</v>
      </c>
      <c r="C10" s="345" t="s">
        <v>833</v>
      </c>
      <c r="E10" t="s">
        <v>909</v>
      </c>
      <c r="F10">
        <v>1</v>
      </c>
      <c r="G10">
        <v>1</v>
      </c>
      <c r="H10">
        <v>0.84</v>
      </c>
      <c r="I10">
        <v>0.65</v>
      </c>
      <c r="J10">
        <v>0.72</v>
      </c>
      <c r="K10">
        <v>1</v>
      </c>
      <c r="L10">
        <v>0.88</v>
      </c>
      <c r="M10">
        <v>0.84</v>
      </c>
      <c r="N10">
        <v>0.65</v>
      </c>
      <c r="O10">
        <v>0.72</v>
      </c>
      <c r="P10">
        <v>0.72</v>
      </c>
      <c r="Q10" t="s">
        <v>741</v>
      </c>
      <c r="R10">
        <v>15</v>
      </c>
      <c r="S10" t="s">
        <v>939</v>
      </c>
      <c r="T10" s="273">
        <f>INDEX(Table71[CBECS 2012 Midwest Electricity Energy Intensity (kWh/sq ft)],MATCH(LPDWATT[[#This Row],[CBECS Building Activity]],Table71[Principal building activity],0))</f>
        <v>13.2</v>
      </c>
      <c r="U10" t="s">
        <v>1797</v>
      </c>
      <c r="V10">
        <v>0.67</v>
      </c>
      <c r="W10">
        <v>3379</v>
      </c>
      <c r="X10">
        <v>1.08</v>
      </c>
      <c r="Y10" t="s">
        <v>1736</v>
      </c>
    </row>
    <row r="11" spans="2:64" ht="15.75" thickBot="1">
      <c r="B11" s="344">
        <v>1</v>
      </c>
      <c r="C11" s="344" t="str">
        <f t="array" aca="1" ref="C11" ca="1">IFERROR(INDEX(LPDWATT[],MATCH(SPACETYPE1,LPDWATT[Building Area Type],0),MATCH(NEWCONCODE,LPDWATT[#Headers],0)),"")</f>
        <v/>
      </c>
      <c r="E11" t="s">
        <v>910</v>
      </c>
      <c r="F11">
        <v>1</v>
      </c>
      <c r="G11">
        <v>0.8</v>
      </c>
      <c r="H11">
        <v>0.67</v>
      </c>
      <c r="I11">
        <v>0.53</v>
      </c>
      <c r="J11">
        <v>0.56000000000000005</v>
      </c>
      <c r="K11">
        <v>1</v>
      </c>
      <c r="L11">
        <v>0.71</v>
      </c>
      <c r="M11">
        <v>0.67100000000000004</v>
      </c>
      <c r="N11">
        <v>0.53</v>
      </c>
      <c r="O11">
        <v>0.56000000000000005</v>
      </c>
      <c r="P11">
        <v>0.56000000000000005</v>
      </c>
      <c r="Q11" t="s">
        <v>741</v>
      </c>
      <c r="R11">
        <v>15</v>
      </c>
      <c r="S11" t="s">
        <v>939</v>
      </c>
      <c r="T11" s="273">
        <f>INDEX(Table71[CBECS 2012 Midwest Electricity Energy Intensity (kWh/sq ft)],MATCH(LPDWATT[[#This Row],[CBECS Building Activity]],Table71[Principal building activity],0))</f>
        <v>10.3</v>
      </c>
      <c r="U11" t="s">
        <v>1810</v>
      </c>
      <c r="V11">
        <v>0.65</v>
      </c>
      <c r="W11">
        <v>2698</v>
      </c>
      <c r="X11">
        <v>1.06</v>
      </c>
      <c r="Y11" t="s">
        <v>1737</v>
      </c>
    </row>
    <row r="12" spans="2:64" ht="15.75" thickBot="1">
      <c r="B12" s="344">
        <v>2</v>
      </c>
      <c r="C12" s="344" t="str">
        <f t="array" aca="1" ref="C12" ca="1">IFERROR(INDEX(LPDWATT[],MATCH(SPACETYPE2,LPDWATT[Building Area Type],0),MATCH(NEWCONCODE,LPDWATT[#Headers],0)),"")</f>
        <v/>
      </c>
      <c r="E12" t="s">
        <v>1881</v>
      </c>
      <c r="F12" t="s">
        <v>1147</v>
      </c>
      <c r="G12" t="s">
        <v>1147</v>
      </c>
      <c r="H12" t="s">
        <v>1147</v>
      </c>
      <c r="I12" t="s">
        <v>1147</v>
      </c>
      <c r="J12" t="s">
        <v>1147</v>
      </c>
      <c r="K12" t="s">
        <v>1147</v>
      </c>
      <c r="L12" t="s">
        <v>1147</v>
      </c>
      <c r="M12" t="s">
        <v>1147</v>
      </c>
      <c r="N12" t="s">
        <v>1147</v>
      </c>
      <c r="O12" t="s">
        <v>1147</v>
      </c>
      <c r="P12" t="s">
        <v>1147</v>
      </c>
      <c r="Q12" t="s">
        <v>741</v>
      </c>
      <c r="S12" t="s">
        <v>939</v>
      </c>
      <c r="T12" s="273">
        <f>INDEX(Table71[CBECS 2012 Midwest Electricity Energy Intensity (kWh/sq ft)],MATCH(LPDWATT[[#This Row],[CBECS Building Activity]],Table71[Principal building activity],0))</f>
        <v>20.2</v>
      </c>
      <c r="U12" t="s">
        <v>30</v>
      </c>
      <c r="V12">
        <v>0.76</v>
      </c>
      <c r="W12">
        <v>4200</v>
      </c>
      <c r="X12">
        <v>1.21</v>
      </c>
      <c r="Y12" t="s">
        <v>1968</v>
      </c>
    </row>
    <row r="13" spans="2:64" ht="15.75" thickBot="1">
      <c r="B13" s="344">
        <v>3</v>
      </c>
      <c r="C13" s="344" t="str">
        <f t="array" aca="1" ref="C13" ca="1">IFERROR(INDEX(LPDWATT[],MATCH(SPACETYPE3,LPDWATT[Building Area Type],0),MATCH(NEWCONCODE,LPDWATT[#Headers],0)),"")</f>
        <v/>
      </c>
      <c r="E13" t="s">
        <v>911</v>
      </c>
      <c r="F13">
        <v>1.1000000000000001</v>
      </c>
      <c r="G13">
        <v>1.1000000000000001</v>
      </c>
      <c r="H13">
        <v>0.94</v>
      </c>
      <c r="I13">
        <v>0.68</v>
      </c>
      <c r="J13">
        <v>0.76</v>
      </c>
      <c r="K13">
        <v>1.1000000000000001</v>
      </c>
      <c r="L13">
        <v>1</v>
      </c>
      <c r="M13">
        <v>0.94</v>
      </c>
      <c r="N13">
        <v>0.68</v>
      </c>
      <c r="O13">
        <v>0.76</v>
      </c>
      <c r="P13">
        <v>0.75</v>
      </c>
      <c r="Q13" t="s">
        <v>741</v>
      </c>
      <c r="R13">
        <v>15</v>
      </c>
      <c r="S13" t="s">
        <v>939</v>
      </c>
      <c r="T13" s="273">
        <f>INDEX(Table71[CBECS 2012 Midwest Electricity Energy Intensity (kWh/sq ft)],MATCH(LPDWATT[[#This Row],[CBECS Building Activity]],Table71[Principal building activity],0))</f>
        <v>13.2</v>
      </c>
      <c r="U13" t="s">
        <v>1797</v>
      </c>
      <c r="V13">
        <v>0.67</v>
      </c>
      <c r="W13">
        <v>3379</v>
      </c>
      <c r="X13">
        <v>1.08</v>
      </c>
      <c r="Y13" t="s">
        <v>1736</v>
      </c>
    </row>
    <row r="14" spans="2:64" ht="15.75" thickBot="1">
      <c r="B14" s="344">
        <v>4</v>
      </c>
      <c r="C14" s="344" t="str">
        <f t="array" aca="1" ref="C14" ca="1">IFERROR(INDEX(LPDWATT[],MATCH(SPACETYPE4,LPDWATT[Building Area Type],0),MATCH(NEWCONCODE,LPDWATT[#Headers],0)),"")</f>
        <v/>
      </c>
      <c r="E14" t="s">
        <v>913</v>
      </c>
      <c r="F14">
        <v>1</v>
      </c>
      <c r="G14">
        <v>1</v>
      </c>
      <c r="H14">
        <v>0.9</v>
      </c>
      <c r="I14">
        <v>0.82</v>
      </c>
      <c r="J14">
        <v>0.81</v>
      </c>
      <c r="K14">
        <v>1</v>
      </c>
      <c r="L14">
        <v>0.87</v>
      </c>
      <c r="M14">
        <v>0.9</v>
      </c>
      <c r="N14">
        <v>0.82</v>
      </c>
      <c r="O14">
        <v>0.81</v>
      </c>
      <c r="P14">
        <v>0.77</v>
      </c>
      <c r="Q14" t="s">
        <v>741</v>
      </c>
      <c r="R14">
        <v>15</v>
      </c>
      <c r="S14" t="s">
        <v>939</v>
      </c>
      <c r="T14" s="273">
        <f>INDEX(Table71[CBECS 2012 Midwest Electricity Energy Intensity (kWh/sq ft)],MATCH(LPDWATT[[#This Row],[CBECS Building Activity]],Table71[Principal building activity],0))</f>
        <v>20.100000000000001</v>
      </c>
      <c r="U14" t="s">
        <v>1802</v>
      </c>
      <c r="V14">
        <v>0.67</v>
      </c>
      <c r="W14">
        <v>3890</v>
      </c>
      <c r="X14">
        <v>1.1399999999999999</v>
      </c>
    </row>
    <row r="15" spans="2:64" ht="15.75" thickBot="1">
      <c r="B15" s="344">
        <v>5</v>
      </c>
      <c r="C15" s="344" t="str">
        <f t="array" aca="1" ref="C15" ca="1">IFERROR(INDEX(LPDWATT[],MATCH(SPACETYPE5,LPDWATT[Building Area Type],0),MATCH(NEWCONCODE,LPDWATT[#Headers],0)),"")</f>
        <v/>
      </c>
      <c r="E15" t="s">
        <v>868</v>
      </c>
      <c r="F15">
        <v>1.2</v>
      </c>
      <c r="G15">
        <v>1.2</v>
      </c>
      <c r="H15">
        <v>1.05</v>
      </c>
      <c r="I15">
        <v>1.05</v>
      </c>
      <c r="J15">
        <v>0.96</v>
      </c>
      <c r="K15">
        <v>1.2</v>
      </c>
      <c r="L15">
        <v>1.21</v>
      </c>
      <c r="M15">
        <v>1.05</v>
      </c>
      <c r="N15">
        <v>1.05</v>
      </c>
      <c r="O15">
        <v>0.96</v>
      </c>
      <c r="P15">
        <v>0.92</v>
      </c>
      <c r="Q15" t="s">
        <v>741</v>
      </c>
      <c r="R15">
        <v>15</v>
      </c>
      <c r="S15" t="s">
        <v>939</v>
      </c>
      <c r="T15" s="273">
        <f>INDEX(Table71[CBECS 2012 Midwest Electricity Energy Intensity (kWh/sq ft)],MATCH(LPDWATT[[#This Row],[CBECS Building Activity]],Table71[Principal building activity],0))</f>
        <v>28.9</v>
      </c>
      <c r="U15" t="s">
        <v>1803</v>
      </c>
      <c r="V15">
        <v>0.56000000000000005</v>
      </c>
      <c r="W15">
        <v>7616</v>
      </c>
      <c r="X15">
        <v>1.1299999999999999</v>
      </c>
      <c r="Y15" t="s">
        <v>914</v>
      </c>
    </row>
    <row r="16" spans="2:64" ht="15.75" thickBot="1">
      <c r="B16" s="344">
        <v>6</v>
      </c>
      <c r="C16" s="344" t="str">
        <f t="array" aca="1" ref="C16" ca="1">IFERROR(INDEX(LPDWATT[],MATCH(SPACETYPE6,LPDWATT[Building Area Type],0),MATCH(NEWCONCODE,LPDWATT[#Headers],0)),"")</f>
        <v/>
      </c>
      <c r="E16" t="s">
        <v>915</v>
      </c>
      <c r="F16">
        <v>1</v>
      </c>
      <c r="G16">
        <v>1</v>
      </c>
      <c r="H16">
        <v>0.87</v>
      </c>
      <c r="I16">
        <v>0.75</v>
      </c>
      <c r="J16">
        <v>0.56000000000000005</v>
      </c>
      <c r="K16">
        <v>1</v>
      </c>
      <c r="L16">
        <v>1</v>
      </c>
      <c r="M16">
        <v>0.87</v>
      </c>
      <c r="N16">
        <v>0.75</v>
      </c>
      <c r="O16">
        <v>0.56000000000000005</v>
      </c>
      <c r="P16">
        <v>0.53</v>
      </c>
      <c r="Q16" t="s">
        <v>741</v>
      </c>
      <c r="R16">
        <v>15</v>
      </c>
      <c r="S16" t="s">
        <v>939</v>
      </c>
      <c r="T16" s="273">
        <f>INDEX(Table71[CBECS 2012 Midwest Electricity Energy Intensity (kWh/sq ft)],MATCH(LPDWATT[[#This Row],[CBECS Building Activity]],Table71[Principal building activity],0))</f>
        <v>15.4</v>
      </c>
      <c r="U16" t="s">
        <v>1801</v>
      </c>
      <c r="V16">
        <v>0.65500000000000003</v>
      </c>
      <c r="W16">
        <v>4264</v>
      </c>
      <c r="X16">
        <v>1.1299999999999999</v>
      </c>
      <c r="Y16" t="s">
        <v>916</v>
      </c>
    </row>
    <row r="17" spans="5:25">
      <c r="E17" t="s">
        <v>917</v>
      </c>
      <c r="F17">
        <v>1.3</v>
      </c>
      <c r="G17">
        <v>1.3</v>
      </c>
      <c r="H17">
        <v>1.19</v>
      </c>
      <c r="I17">
        <v>0.78</v>
      </c>
      <c r="J17">
        <v>0.83</v>
      </c>
      <c r="K17">
        <v>1.3</v>
      </c>
      <c r="L17">
        <v>1.18</v>
      </c>
      <c r="M17">
        <v>1.19</v>
      </c>
      <c r="N17">
        <v>0.78</v>
      </c>
      <c r="O17">
        <v>0.83</v>
      </c>
      <c r="P17">
        <v>0.83</v>
      </c>
      <c r="Q17" t="s">
        <v>741</v>
      </c>
      <c r="R17">
        <v>15</v>
      </c>
      <c r="S17" t="s">
        <v>939</v>
      </c>
      <c r="T17" s="273">
        <f>INDEX(Table71[CBECS 2012 Midwest Electricity Energy Intensity (kWh/sq ft)],MATCH(LPDWATT[[#This Row],[CBECS Building Activity]],Table71[Principal building activity],0))</f>
        <v>13.2</v>
      </c>
      <c r="U17" t="s">
        <v>1797</v>
      </c>
      <c r="V17">
        <v>0.65</v>
      </c>
      <c r="W17">
        <v>2698</v>
      </c>
      <c r="X17">
        <v>1.06</v>
      </c>
      <c r="Y17" t="s">
        <v>1737</v>
      </c>
    </row>
    <row r="18" spans="5:25">
      <c r="E18" t="s">
        <v>861</v>
      </c>
      <c r="F18">
        <v>1.3</v>
      </c>
      <c r="G18">
        <v>1.3</v>
      </c>
      <c r="H18">
        <v>1.17</v>
      </c>
      <c r="I18">
        <v>0.9</v>
      </c>
      <c r="J18">
        <v>0.82</v>
      </c>
      <c r="K18">
        <v>1.3</v>
      </c>
      <c r="L18">
        <v>1.1100000000000001</v>
      </c>
      <c r="M18">
        <v>1.17</v>
      </c>
      <c r="N18">
        <v>0.9</v>
      </c>
      <c r="O18">
        <v>0.82</v>
      </c>
      <c r="P18">
        <v>0.82</v>
      </c>
      <c r="Q18" t="s">
        <v>741</v>
      </c>
      <c r="R18">
        <v>15</v>
      </c>
      <c r="S18" t="s">
        <v>939</v>
      </c>
      <c r="T18" s="273">
        <f>INDEX(Table71[CBECS 2012 Midwest Electricity Energy Intensity (kWh/sq ft)],MATCH(LPDWATT[[#This Row],[CBECS Building Activity]],Table71[Principal building activity],0))</f>
        <v>20.2</v>
      </c>
      <c r="U18" t="s">
        <v>30</v>
      </c>
      <c r="V18">
        <v>0.64</v>
      </c>
      <c r="W18">
        <v>4584</v>
      </c>
      <c r="X18">
        <v>1.02</v>
      </c>
      <c r="Y18" t="s">
        <v>1970</v>
      </c>
    </row>
    <row r="19" spans="5:25">
      <c r="E19" t="s">
        <v>918</v>
      </c>
      <c r="F19">
        <v>1</v>
      </c>
      <c r="G19">
        <v>1</v>
      </c>
      <c r="H19">
        <v>0.87</v>
      </c>
      <c r="I19">
        <v>0.75</v>
      </c>
      <c r="J19">
        <v>0.56000000000000005</v>
      </c>
      <c r="K19">
        <v>1</v>
      </c>
      <c r="L19">
        <v>0.88</v>
      </c>
      <c r="M19">
        <v>0.87</v>
      </c>
      <c r="N19">
        <v>0.75</v>
      </c>
      <c r="O19">
        <v>0.56000000000000005</v>
      </c>
      <c r="P19">
        <v>0.53</v>
      </c>
      <c r="Q19" t="s">
        <v>741</v>
      </c>
      <c r="R19">
        <v>15</v>
      </c>
      <c r="S19" t="s">
        <v>939</v>
      </c>
      <c r="T19" s="273">
        <f>INDEX(Table71[CBECS 2012 Midwest Electricity Energy Intensity (kWh/sq ft)],MATCH(LPDWATT[[#This Row],[CBECS Building Activity]],Table71[Principal building activity],0))</f>
        <v>15.4</v>
      </c>
      <c r="U19" t="s">
        <v>1801</v>
      </c>
      <c r="V19">
        <v>0.65500000000000003</v>
      </c>
      <c r="W19">
        <v>4264</v>
      </c>
      <c r="X19">
        <v>1.1299999999999999</v>
      </c>
      <c r="Y19" t="s">
        <v>916</v>
      </c>
    </row>
    <row r="20" spans="5:25">
      <c r="E20" t="s">
        <v>919</v>
      </c>
      <c r="F20">
        <v>1.2</v>
      </c>
      <c r="G20">
        <v>1.2</v>
      </c>
      <c r="H20">
        <v>0.76</v>
      </c>
      <c r="I20">
        <v>0.83</v>
      </c>
      <c r="J20">
        <v>0.44</v>
      </c>
      <c r="K20">
        <v>1.2</v>
      </c>
      <c r="L20">
        <v>0.83</v>
      </c>
      <c r="M20">
        <v>0.76</v>
      </c>
      <c r="N20">
        <v>0.83</v>
      </c>
      <c r="O20">
        <v>0.44</v>
      </c>
      <c r="P20">
        <v>0.43</v>
      </c>
      <c r="Q20" t="s">
        <v>741</v>
      </c>
      <c r="R20">
        <v>15</v>
      </c>
      <c r="S20" t="s">
        <v>939</v>
      </c>
      <c r="T20" s="273">
        <f>INDEX(Table71[CBECS 2012 Midwest Electricity Energy Intensity (kWh/sq ft)],MATCH(LPDWATT[[#This Row],[CBECS Building Activity]],Table71[Principal building activity],0))</f>
        <v>13.2</v>
      </c>
      <c r="U20" t="s">
        <v>1797</v>
      </c>
      <c r="V20">
        <v>0.53</v>
      </c>
      <c r="W20">
        <v>3506</v>
      </c>
      <c r="X20">
        <v>1.1100000000000001</v>
      </c>
    </row>
    <row r="21" spans="5:25">
      <c r="E21" t="s">
        <v>920</v>
      </c>
      <c r="F21">
        <v>0.7</v>
      </c>
      <c r="G21">
        <v>0.7</v>
      </c>
      <c r="H21">
        <v>0.51</v>
      </c>
      <c r="I21">
        <v>0.68</v>
      </c>
      <c r="J21">
        <v>0.45</v>
      </c>
      <c r="K21">
        <v>0.7</v>
      </c>
      <c r="L21">
        <v>0.6</v>
      </c>
      <c r="M21">
        <v>0.51</v>
      </c>
      <c r="N21">
        <v>0.68</v>
      </c>
      <c r="O21">
        <v>0.45</v>
      </c>
      <c r="P21">
        <v>0.46</v>
      </c>
      <c r="Q21" t="s">
        <v>741</v>
      </c>
      <c r="R21">
        <v>15</v>
      </c>
      <c r="S21" t="s">
        <v>939</v>
      </c>
      <c r="T21" s="273">
        <f>INDEX(Table71[CBECS 2012 Midwest Electricity Energy Intensity (kWh/sq ft)],MATCH(LPDWATT[[#This Row],[CBECS Building Activity]],Table71[Principal building activity],0))</f>
        <v>15.4</v>
      </c>
      <c r="U21" t="s">
        <v>1801</v>
      </c>
      <c r="V21">
        <v>0.76</v>
      </c>
      <c r="W21">
        <v>5677</v>
      </c>
      <c r="X21">
        <v>1.155</v>
      </c>
      <c r="Y21" t="s">
        <v>1969</v>
      </c>
    </row>
    <row r="22" spans="5:25">
      <c r="E22" t="s">
        <v>921</v>
      </c>
      <c r="F22">
        <v>1.1000000000000001</v>
      </c>
      <c r="G22">
        <v>1.1000000000000001</v>
      </c>
      <c r="H22">
        <v>1.02</v>
      </c>
      <c r="I22">
        <v>1.06</v>
      </c>
      <c r="J22">
        <v>0.55000000000000004</v>
      </c>
      <c r="K22">
        <v>1.1000000000000001</v>
      </c>
      <c r="L22">
        <v>1.06</v>
      </c>
      <c r="M22">
        <v>1.02</v>
      </c>
      <c r="N22">
        <v>1.06</v>
      </c>
      <c r="O22">
        <v>0.55000000000000004</v>
      </c>
      <c r="P22">
        <v>0.56000000000000005</v>
      </c>
      <c r="Q22" t="s">
        <v>741</v>
      </c>
      <c r="R22">
        <v>15</v>
      </c>
      <c r="S22" t="s">
        <v>939</v>
      </c>
      <c r="T22" s="273">
        <f>INDEX(Table71[CBECS 2012 Midwest Electricity Energy Intensity (kWh/sq ft)],MATCH(LPDWATT[[#This Row],[CBECS Building Activity]],Table71[Principal building activity],0))</f>
        <v>13.2</v>
      </c>
      <c r="U22" t="s">
        <v>1797</v>
      </c>
      <c r="V22">
        <v>0.67</v>
      </c>
      <c r="W22">
        <v>3379</v>
      </c>
      <c r="X22">
        <v>1.08</v>
      </c>
      <c r="Y22" t="s">
        <v>1736</v>
      </c>
    </row>
    <row r="23" spans="5:25">
      <c r="E23" t="s">
        <v>922</v>
      </c>
      <c r="F23">
        <v>1</v>
      </c>
      <c r="G23">
        <v>0.9</v>
      </c>
      <c r="H23">
        <v>0.82</v>
      </c>
      <c r="I23">
        <v>0.79</v>
      </c>
      <c r="J23">
        <v>0.64</v>
      </c>
      <c r="K23">
        <v>1</v>
      </c>
      <c r="L23">
        <v>0.9</v>
      </c>
      <c r="M23">
        <v>0.82</v>
      </c>
      <c r="N23">
        <v>0.79</v>
      </c>
      <c r="O23">
        <v>0.64</v>
      </c>
      <c r="P23">
        <v>0.62</v>
      </c>
      <c r="Q23" t="s">
        <v>741</v>
      </c>
      <c r="R23">
        <v>15</v>
      </c>
      <c r="S23" t="s">
        <v>939</v>
      </c>
      <c r="T23" s="273">
        <f>INDEX(Table71[CBECS 2012 Midwest Electricity Energy Intensity (kWh/sq ft)],MATCH(LPDWATT[[#This Row],[CBECS Building Activity]],Table71[Principal building activity],0))</f>
        <v>15.3</v>
      </c>
      <c r="U23" t="s">
        <v>922</v>
      </c>
      <c r="V23">
        <v>0.69</v>
      </c>
      <c r="W23">
        <v>3636</v>
      </c>
      <c r="X23">
        <v>1.25</v>
      </c>
      <c r="Y23" t="s">
        <v>1970</v>
      </c>
    </row>
    <row r="24" spans="5:25">
      <c r="E24" t="s">
        <v>923</v>
      </c>
      <c r="F24">
        <v>0.3</v>
      </c>
      <c r="G24">
        <v>0.3</v>
      </c>
      <c r="H24">
        <v>0.21</v>
      </c>
      <c r="I24">
        <v>0.15</v>
      </c>
      <c r="J24">
        <v>0.18</v>
      </c>
      <c r="K24">
        <v>0.3</v>
      </c>
      <c r="L24">
        <v>0.25</v>
      </c>
      <c r="M24">
        <v>0.21</v>
      </c>
      <c r="N24">
        <v>0.15</v>
      </c>
      <c r="O24">
        <v>0.18</v>
      </c>
      <c r="P24">
        <v>0.17</v>
      </c>
      <c r="Q24" t="s">
        <v>741</v>
      </c>
      <c r="R24">
        <v>15</v>
      </c>
      <c r="S24" t="s">
        <v>939</v>
      </c>
      <c r="T24" s="273">
        <f>INDEX(Table71[CBECS 2012 Midwest Electricity Energy Intensity (kWh/sq ft)],MATCH(LPDWATT[[#This Row],[CBECS Building Activity]],Table71[Principal building activity],0))</f>
        <v>5.3</v>
      </c>
      <c r="U24" t="s">
        <v>1796</v>
      </c>
      <c r="V24">
        <v>0.92</v>
      </c>
      <c r="W24">
        <v>3401</v>
      </c>
      <c r="X24">
        <v>1</v>
      </c>
      <c r="Y24" t="s">
        <v>924</v>
      </c>
    </row>
    <row r="25" spans="5:25">
      <c r="E25" t="s">
        <v>925</v>
      </c>
      <c r="F25">
        <v>1</v>
      </c>
      <c r="G25">
        <v>1</v>
      </c>
      <c r="H25">
        <v>0.81</v>
      </c>
      <c r="I25">
        <v>0.75</v>
      </c>
      <c r="J25">
        <v>0.69</v>
      </c>
      <c r="K25">
        <v>1</v>
      </c>
      <c r="L25">
        <v>0.97</v>
      </c>
      <c r="M25">
        <v>0.81</v>
      </c>
      <c r="N25">
        <v>0.75</v>
      </c>
      <c r="O25">
        <v>0.69</v>
      </c>
      <c r="P25">
        <v>0.65</v>
      </c>
      <c r="Q25" t="s">
        <v>741</v>
      </c>
      <c r="R25">
        <v>15</v>
      </c>
      <c r="S25" t="s">
        <v>939</v>
      </c>
      <c r="T25" s="273">
        <f>INDEX(Table71[CBECS 2012 Midwest Electricity Energy Intensity (kWh/sq ft)],MATCH(LPDWATT[[#This Row],[CBECS Building Activity]],Table71[Principal building activity],0))</f>
        <v>10.3</v>
      </c>
      <c r="U25" t="s">
        <v>1810</v>
      </c>
      <c r="V25">
        <v>0.65</v>
      </c>
      <c r="W25">
        <v>2698</v>
      </c>
      <c r="X25">
        <v>1.06</v>
      </c>
      <c r="Y25" t="s">
        <v>1737</v>
      </c>
    </row>
    <row r="26" spans="5:25">
      <c r="E26" t="s">
        <v>926</v>
      </c>
      <c r="F26">
        <v>1.6</v>
      </c>
      <c r="G26">
        <v>1.6</v>
      </c>
      <c r="H26">
        <v>1.39</v>
      </c>
      <c r="I26">
        <v>1.18</v>
      </c>
      <c r="J26">
        <v>0.84</v>
      </c>
      <c r="K26">
        <v>1.6</v>
      </c>
      <c r="L26">
        <v>1.39</v>
      </c>
      <c r="M26">
        <v>1.39</v>
      </c>
      <c r="N26">
        <v>1.18</v>
      </c>
      <c r="O26">
        <v>0.84</v>
      </c>
      <c r="P26">
        <v>0.82</v>
      </c>
      <c r="Q26" t="s">
        <v>741</v>
      </c>
      <c r="R26">
        <v>15</v>
      </c>
      <c r="S26" t="s">
        <v>939</v>
      </c>
      <c r="T26" s="273">
        <f>INDEX(Table71[CBECS 2012 Midwest Electricity Energy Intensity (kWh/sq ft)],MATCH(LPDWATT[[#This Row],[CBECS Building Activity]],Table71[Principal building activity],0))</f>
        <v>13.2</v>
      </c>
      <c r="U26" t="s">
        <v>1797</v>
      </c>
      <c r="V26">
        <v>0.53</v>
      </c>
      <c r="W26">
        <v>3506</v>
      </c>
      <c r="X26">
        <v>1.1100000000000001</v>
      </c>
      <c r="Y26" t="s">
        <v>927</v>
      </c>
    </row>
    <row r="27" spans="5:25">
      <c r="E27" t="s">
        <v>928</v>
      </c>
      <c r="F27">
        <v>1</v>
      </c>
      <c r="G27">
        <v>1</v>
      </c>
      <c r="H27">
        <v>0.87</v>
      </c>
      <c r="I27">
        <v>0.8</v>
      </c>
      <c r="J27">
        <v>0.66</v>
      </c>
      <c r="K27">
        <v>1</v>
      </c>
      <c r="L27">
        <v>0.96</v>
      </c>
      <c r="M27">
        <v>0.87</v>
      </c>
      <c r="N27">
        <v>0.8</v>
      </c>
      <c r="O27">
        <v>0.66</v>
      </c>
      <c r="P27">
        <v>0.62</v>
      </c>
      <c r="Q27" t="s">
        <v>741</v>
      </c>
      <c r="R27">
        <v>15</v>
      </c>
      <c r="S27" t="s">
        <v>939</v>
      </c>
      <c r="T27" s="273">
        <f>INDEX(Table71[CBECS 2012 Midwest Electricity Energy Intensity (kWh/sq ft)],MATCH(LPDWATT[[#This Row],[CBECS Building Activity]],Table71[Principal building activity],0))</f>
        <v>10.3</v>
      </c>
      <c r="U27" t="s">
        <v>1810</v>
      </c>
      <c r="V27">
        <v>0.65</v>
      </c>
      <c r="W27">
        <v>2698</v>
      </c>
      <c r="X27">
        <v>1.06</v>
      </c>
      <c r="Y27" t="s">
        <v>1737</v>
      </c>
    </row>
    <row r="28" spans="5:25">
      <c r="E28" t="s">
        <v>929</v>
      </c>
      <c r="F28">
        <v>1.1000000000000001</v>
      </c>
      <c r="G28">
        <v>1.1000000000000001</v>
      </c>
      <c r="H28">
        <v>0.87</v>
      </c>
      <c r="I28">
        <v>0.67</v>
      </c>
      <c r="J28">
        <v>0.65</v>
      </c>
      <c r="K28">
        <v>1.1000000000000001</v>
      </c>
      <c r="L28">
        <v>0.87</v>
      </c>
      <c r="M28">
        <v>0.87</v>
      </c>
      <c r="N28">
        <v>0.67</v>
      </c>
      <c r="O28">
        <v>0.65</v>
      </c>
      <c r="P28">
        <v>0.64</v>
      </c>
      <c r="Q28" t="s">
        <v>741</v>
      </c>
      <c r="R28">
        <v>15</v>
      </c>
      <c r="S28" t="s">
        <v>939</v>
      </c>
      <c r="T28" s="273">
        <f>INDEX(Table71[CBECS 2012 Midwest Electricity Energy Intensity (kWh/sq ft)],MATCH(LPDWATT[[#This Row],[CBECS Building Activity]],Table71[Principal building activity],0))</f>
        <v>7.3</v>
      </c>
      <c r="U28" t="s">
        <v>1808</v>
      </c>
      <c r="V28">
        <v>0.66</v>
      </c>
      <c r="W28">
        <v>2954</v>
      </c>
      <c r="X28">
        <v>1.31</v>
      </c>
      <c r="Y28" t="s">
        <v>930</v>
      </c>
    </row>
    <row r="29" spans="5:25">
      <c r="E29" t="s">
        <v>931</v>
      </c>
      <c r="F29">
        <v>1.3</v>
      </c>
      <c r="G29">
        <v>1.3</v>
      </c>
      <c r="H29">
        <v>1</v>
      </c>
      <c r="I29">
        <v>0.94</v>
      </c>
      <c r="J29">
        <v>0.67</v>
      </c>
      <c r="K29">
        <v>1.3</v>
      </c>
      <c r="L29">
        <v>1.05</v>
      </c>
      <c r="M29">
        <v>1</v>
      </c>
      <c r="N29">
        <v>0.94</v>
      </c>
      <c r="O29">
        <v>0.67</v>
      </c>
      <c r="P29">
        <v>0.66</v>
      </c>
      <c r="Q29" t="s">
        <v>741</v>
      </c>
      <c r="R29">
        <v>15</v>
      </c>
      <c r="S29" t="s">
        <v>939</v>
      </c>
      <c r="T29" s="273">
        <f>INDEX(Table71[CBECS 2012 Midwest Electricity Energy Intensity (kWh/sq ft)],MATCH(LPDWATT[[#This Row],[CBECS Building Activity]],Table71[Principal building activity],0))</f>
        <v>4.5</v>
      </c>
      <c r="U29" t="s">
        <v>1809</v>
      </c>
      <c r="V29">
        <v>0.48</v>
      </c>
      <c r="W29">
        <v>2085</v>
      </c>
      <c r="X29">
        <v>1.1200000000000001</v>
      </c>
    </row>
    <row r="30" spans="5:25">
      <c r="E30" t="s">
        <v>932</v>
      </c>
      <c r="F30">
        <v>1.5</v>
      </c>
      <c r="G30">
        <v>1.4</v>
      </c>
      <c r="H30">
        <v>1.26</v>
      </c>
      <c r="I30">
        <v>1.06</v>
      </c>
      <c r="J30">
        <v>0.84</v>
      </c>
      <c r="K30">
        <v>1.5</v>
      </c>
      <c r="L30">
        <v>1.4</v>
      </c>
      <c r="M30">
        <v>1.26</v>
      </c>
      <c r="N30">
        <v>1.06</v>
      </c>
      <c r="O30">
        <v>0.84</v>
      </c>
      <c r="P30">
        <v>0.78</v>
      </c>
      <c r="Q30" t="s">
        <v>741</v>
      </c>
      <c r="R30">
        <v>15</v>
      </c>
      <c r="S30" t="s">
        <v>939</v>
      </c>
      <c r="T30" s="273">
        <f>INDEX(Table71[CBECS 2012 Midwest Electricity Energy Intensity (kWh/sq ft)],MATCH(LPDWATT[[#This Row],[CBECS Building Activity]],Table71[Principal building activity],0))</f>
        <v>14.1</v>
      </c>
      <c r="U30" t="s">
        <v>1799</v>
      </c>
      <c r="V30">
        <v>0.74</v>
      </c>
      <c r="W30">
        <v>4921</v>
      </c>
      <c r="X30">
        <v>1.1200000000000001</v>
      </c>
      <c r="Y30" t="s">
        <v>1970</v>
      </c>
    </row>
    <row r="31" spans="5:25">
      <c r="E31" t="s">
        <v>912</v>
      </c>
      <c r="F31">
        <v>1.2</v>
      </c>
      <c r="G31">
        <v>1.2</v>
      </c>
      <c r="H31">
        <v>0.87</v>
      </c>
      <c r="I31">
        <v>0.81</v>
      </c>
      <c r="J31">
        <v>0.72</v>
      </c>
      <c r="K31">
        <v>1.2</v>
      </c>
      <c r="L31">
        <v>0.99</v>
      </c>
      <c r="M31">
        <v>0.87</v>
      </c>
      <c r="N31">
        <v>0.81</v>
      </c>
      <c r="O31">
        <v>0.72</v>
      </c>
      <c r="P31">
        <v>0.7</v>
      </c>
      <c r="Q31" t="s">
        <v>741</v>
      </c>
      <c r="R31">
        <v>15</v>
      </c>
      <c r="S31" t="s">
        <v>939</v>
      </c>
      <c r="T31" s="273">
        <f>INDEX(Table71[CBECS 2012 Midwest Electricity Energy Intensity (kWh/sq ft)],MATCH(LPDWATT[[#This Row],[CBECS Building Activity]],Table71[Principal building activity],0))</f>
        <v>10.3</v>
      </c>
      <c r="U31" t="s">
        <v>1792</v>
      </c>
      <c r="V31">
        <v>0.63</v>
      </c>
      <c r="W31">
        <v>3642</v>
      </c>
      <c r="X31">
        <v>1.17</v>
      </c>
      <c r="Y31" t="s">
        <v>1970</v>
      </c>
    </row>
    <row r="32" spans="5:25">
      <c r="E32" t="s">
        <v>933</v>
      </c>
      <c r="F32">
        <v>1.1000000000000001</v>
      </c>
      <c r="G32">
        <v>1.1000000000000001</v>
      </c>
      <c r="H32">
        <v>0.91</v>
      </c>
      <c r="I32">
        <v>0.87</v>
      </c>
      <c r="J32">
        <v>0.76</v>
      </c>
      <c r="K32">
        <v>1.1000000000000001</v>
      </c>
      <c r="L32">
        <v>0.78</v>
      </c>
      <c r="M32">
        <v>0.91</v>
      </c>
      <c r="N32">
        <v>0.87</v>
      </c>
      <c r="O32">
        <v>0.76</v>
      </c>
      <c r="P32">
        <v>0.73</v>
      </c>
      <c r="Q32" t="s">
        <v>741</v>
      </c>
      <c r="R32">
        <v>15</v>
      </c>
      <c r="S32" t="s">
        <v>939</v>
      </c>
      <c r="T32" s="273">
        <f>INDEX(Table71[CBECS 2012 Midwest Electricity Energy Intensity (kWh/sq ft)],MATCH(LPDWATT[[#This Row],[CBECS Building Activity]],Table71[Principal building activity],0))</f>
        <v>13.2</v>
      </c>
      <c r="U32" t="s">
        <v>1797</v>
      </c>
      <c r="V32">
        <v>0.67</v>
      </c>
      <c r="W32">
        <v>3379</v>
      </c>
      <c r="X32">
        <v>1.08</v>
      </c>
      <c r="Y32" t="s">
        <v>1736</v>
      </c>
    </row>
    <row r="33" spans="5:25">
      <c r="E33" t="s">
        <v>934</v>
      </c>
      <c r="F33">
        <v>1.1000000000000001</v>
      </c>
      <c r="G33">
        <v>1.1000000000000001</v>
      </c>
      <c r="H33">
        <v>0.89</v>
      </c>
      <c r="I33">
        <v>0.8</v>
      </c>
      <c r="J33">
        <v>0.69</v>
      </c>
      <c r="K33">
        <v>1.1000000000000001</v>
      </c>
      <c r="L33">
        <v>0.92</v>
      </c>
      <c r="M33">
        <v>0.89</v>
      </c>
      <c r="N33">
        <v>0.8</v>
      </c>
      <c r="O33">
        <v>0.69</v>
      </c>
      <c r="P33">
        <v>0.67</v>
      </c>
      <c r="Q33" t="s">
        <v>741</v>
      </c>
      <c r="R33">
        <v>15</v>
      </c>
      <c r="S33" t="s">
        <v>939</v>
      </c>
      <c r="T33" s="273">
        <f>INDEX(Table71[CBECS 2012 Midwest Electricity Energy Intensity (kWh/sq ft)],MATCH(LPDWATT[[#This Row],[CBECS Building Activity]],Table71[Principal building activity],0))</f>
        <v>15.3</v>
      </c>
      <c r="U33" t="s">
        <v>922</v>
      </c>
      <c r="V33">
        <v>0.65</v>
      </c>
      <c r="W33">
        <v>2698</v>
      </c>
      <c r="X33">
        <v>1.06</v>
      </c>
      <c r="Y33" t="s">
        <v>1737</v>
      </c>
    </row>
    <row r="34" spans="5:25">
      <c r="E34" t="s">
        <v>935</v>
      </c>
      <c r="F34">
        <v>1</v>
      </c>
      <c r="G34">
        <v>1</v>
      </c>
      <c r="H34">
        <v>0.7</v>
      </c>
      <c r="I34">
        <v>0.61</v>
      </c>
      <c r="J34">
        <v>0.5</v>
      </c>
      <c r="K34">
        <v>1</v>
      </c>
      <c r="L34">
        <v>0.77</v>
      </c>
      <c r="M34">
        <v>0.7</v>
      </c>
      <c r="N34">
        <v>0.61</v>
      </c>
      <c r="O34">
        <v>0.5</v>
      </c>
      <c r="P34">
        <v>0.56000000000000005</v>
      </c>
      <c r="Q34" t="s">
        <v>741</v>
      </c>
      <c r="R34">
        <v>15</v>
      </c>
      <c r="S34" t="s">
        <v>939</v>
      </c>
      <c r="T34" s="273">
        <f>INDEX(Table71[CBECS 2012 Midwest Electricity Energy Intensity (kWh/sq ft)],MATCH(LPDWATT[[#This Row],[CBECS Building Activity]],Table71[Principal building activity],0))</f>
        <v>13.2</v>
      </c>
      <c r="U34" t="s">
        <v>1797</v>
      </c>
      <c r="V34">
        <v>0.65</v>
      </c>
      <c r="W34">
        <v>2698</v>
      </c>
      <c r="X34">
        <v>1.06</v>
      </c>
      <c r="Y34" t="s">
        <v>1737</v>
      </c>
    </row>
    <row r="35" spans="5:25">
      <c r="E35" t="s">
        <v>936</v>
      </c>
      <c r="F35">
        <v>1.2</v>
      </c>
      <c r="G35">
        <v>1.2</v>
      </c>
      <c r="H35">
        <v>0.87</v>
      </c>
      <c r="I35">
        <v>0.81</v>
      </c>
      <c r="J35">
        <v>0.72</v>
      </c>
      <c r="K35">
        <v>1.2</v>
      </c>
      <c r="L35">
        <v>0.99</v>
      </c>
      <c r="M35">
        <v>0.87</v>
      </c>
      <c r="N35">
        <v>0.81</v>
      </c>
      <c r="O35">
        <v>0.72</v>
      </c>
      <c r="P35">
        <v>0.7</v>
      </c>
      <c r="Q35" t="s">
        <v>741</v>
      </c>
      <c r="R35">
        <v>15</v>
      </c>
      <c r="S35" t="s">
        <v>939</v>
      </c>
      <c r="T35" s="273">
        <f>INDEX(Table71[CBECS 2012 Midwest Electricity Energy Intensity (kWh/sq ft)],MATCH(LPDWATT[[#This Row],[CBECS Building Activity]],Table71[Principal building activity],0))</f>
        <v>10.3</v>
      </c>
      <c r="U35" t="s">
        <v>1792</v>
      </c>
      <c r="V35">
        <v>0.63</v>
      </c>
      <c r="W35">
        <v>3395</v>
      </c>
      <c r="X35">
        <v>1.02</v>
      </c>
    </row>
    <row r="36" spans="5:25">
      <c r="E36" t="s">
        <v>58</v>
      </c>
      <c r="F36">
        <v>0.8</v>
      </c>
      <c r="G36">
        <v>0.6</v>
      </c>
      <c r="H36">
        <v>0.66</v>
      </c>
      <c r="I36">
        <v>0.48</v>
      </c>
      <c r="J36">
        <v>0.45</v>
      </c>
      <c r="K36">
        <v>0.8</v>
      </c>
      <c r="L36">
        <v>0.66</v>
      </c>
      <c r="M36">
        <v>0.66</v>
      </c>
      <c r="N36">
        <v>0.48</v>
      </c>
      <c r="O36">
        <v>0.45</v>
      </c>
      <c r="P36">
        <v>0.45</v>
      </c>
      <c r="Q36" t="s">
        <v>741</v>
      </c>
      <c r="R36">
        <v>15</v>
      </c>
      <c r="S36" t="s">
        <v>939</v>
      </c>
      <c r="T36" s="273">
        <f>INDEX(Table71[CBECS 2012 Midwest Electricity Energy Intensity (kWh/sq ft)],MATCH(LPDWATT[[#This Row],[CBECS Building Activity]],Table71[Principal building activity],0))</f>
        <v>6.6</v>
      </c>
      <c r="U36" t="s">
        <v>1807</v>
      </c>
      <c r="V36">
        <v>0.55000000000000004</v>
      </c>
      <c r="W36">
        <v>3611</v>
      </c>
      <c r="X36" s="13">
        <v>1</v>
      </c>
      <c r="Y36" t="s">
        <v>1970</v>
      </c>
    </row>
    <row r="37" spans="5:25">
      <c r="E37" t="s">
        <v>937</v>
      </c>
      <c r="F37">
        <v>1.4</v>
      </c>
      <c r="G37">
        <v>1.4</v>
      </c>
      <c r="H37">
        <v>1.19</v>
      </c>
      <c r="I37">
        <v>0.9</v>
      </c>
      <c r="J37">
        <v>0.91</v>
      </c>
      <c r="K37">
        <v>1.4</v>
      </c>
      <c r="L37">
        <v>1.2</v>
      </c>
      <c r="M37">
        <v>1.19</v>
      </c>
      <c r="N37">
        <v>0.9</v>
      </c>
      <c r="O37">
        <v>0.91</v>
      </c>
      <c r="P37">
        <v>0.86</v>
      </c>
      <c r="Q37" t="s">
        <v>741</v>
      </c>
      <c r="R37">
        <v>15</v>
      </c>
      <c r="S37" t="s">
        <v>939</v>
      </c>
      <c r="T37" s="273">
        <f>INDEX(Table71[CBECS 2012 Midwest Electricity Energy Intensity (kWh/sq ft)],MATCH(LPDWATT[[#This Row],[CBECS Building Activity]],Table71[Principal building activity],0))</f>
        <v>7.3</v>
      </c>
      <c r="U37" t="s">
        <v>1808</v>
      </c>
      <c r="V37">
        <v>0.81</v>
      </c>
      <c r="W37">
        <v>4618</v>
      </c>
      <c r="X37">
        <v>1.02</v>
      </c>
      <c r="Y37" t="s">
        <v>1739</v>
      </c>
    </row>
  </sheetData>
  <sheetProtection algorithmName="SHA-512" hashValue="MPyzYdrlgAI9RBn/1PUyunkaV8MJBTYlN0ql/teOs1L/5HsDlHTGaT6XaNABORmxKpHKXovOtS0DeJ3MkvZo2w==" saltValue="XKaK0lJBzq44shPLOK/8Cw==" spinCount="100000" sheet="1" objects="1" scenarios="1"/>
  <phoneticPr fontId="135" type="noConversion"/>
  <pageMargins left="0" right="0" top="0" bottom="0" header="0" footer="0"/>
  <pageSetup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2B438-2CAC-41AA-86A3-35BAB28DE6C6}">
  <ds:schemaRefs>
    <ds:schemaRef ds:uri="http://purl.org/dc/terms/"/>
    <ds:schemaRef ds:uri="http://purl.org/dc/elements/1.1/"/>
    <ds:schemaRef ds:uri="http://www.w3.org/XML/1998/namespace"/>
    <ds:schemaRef ds:uri="46183eef-e5b6-4449-b443-53ec3f5c91f4"/>
    <ds:schemaRef ds:uri="http://schemas.microsoft.com/office/infopath/2007/PartnerControls"/>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3.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511</vt:i4>
      </vt:variant>
    </vt:vector>
  </HeadingPairs>
  <TitlesOfParts>
    <vt:vector size="550" baseType="lpstr">
      <vt:lpstr>Changelog</vt:lpstr>
      <vt:lpstr>MASTER</vt:lpstr>
      <vt:lpstr>DATA TABLES</vt:lpstr>
      <vt:lpstr>CBDATA</vt:lpstr>
      <vt:lpstr>TEMPLATE_N</vt:lpstr>
      <vt:lpstr>EXPORT_N</vt:lpstr>
      <vt:lpstr>MEASURES1_N</vt:lpstr>
      <vt:lpstr>MEASURES2_N</vt:lpstr>
      <vt:lpstr>LPD Tables</vt:lpstr>
      <vt:lpstr>N01-S01</vt:lpstr>
      <vt:lpstr>N01-S02</vt:lpstr>
      <vt:lpstr>N01-S03</vt:lpstr>
      <vt:lpstr>N02-S01</vt:lpstr>
      <vt:lpstr>N02-S02</vt:lpstr>
      <vt:lpstr>N02-S03</vt:lpstr>
      <vt:lpstr>N02-S04</vt:lpstr>
      <vt:lpstr>N03-S01</vt:lpstr>
      <vt:lpstr>xN03-S02</vt:lpstr>
      <vt:lpstr>xN03-S03-1a</vt:lpstr>
      <vt:lpstr>xN03-S03-1b</vt:lpstr>
      <vt:lpstr>xN03-S03-2a</vt:lpstr>
      <vt:lpstr>xN03-S03-2b</vt:lpstr>
      <vt:lpstr>N03-S04</vt:lpstr>
      <vt:lpstr>zN03-S05</vt:lpstr>
      <vt:lpstr>N03-S06</vt:lpstr>
      <vt:lpstr>N04-S01</vt:lpstr>
      <vt:lpstr>N04-S02</vt:lpstr>
      <vt:lpstr>N04-S03</vt:lpstr>
      <vt:lpstr>N04-S04</vt:lpstr>
      <vt:lpstr>N04-S05</vt:lpstr>
      <vt:lpstr>N04-S06</vt:lpstr>
      <vt:lpstr>N04-S09</vt:lpstr>
      <vt:lpstr>N05-S01</vt:lpstr>
      <vt:lpstr>N05-S02</vt:lpstr>
      <vt:lpstr>N05-S02-1</vt:lpstr>
      <vt:lpstr>N05-S03</vt:lpstr>
      <vt:lpstr>N05-S04</vt:lpstr>
      <vt:lpstr>N05-S05</vt:lpstr>
      <vt:lpstr>N05-S07</vt:lpstr>
      <vt:lpstr>ACTIVEBLOCK_N</vt:lpstr>
      <vt:lpstr>ACTIVEBONUS_N</vt:lpstr>
      <vt:lpstr>ACTIVECOMPL_N</vt:lpstr>
      <vt:lpstr>ACTIVEOFFER_N</vt:lpstr>
      <vt:lpstr>ACTIVEWBP_N</vt:lpstr>
      <vt:lpstr>APP_TYPE</vt:lpstr>
      <vt:lpstr>BLOCKBIDRATE</vt:lpstr>
      <vt:lpstr>BUILDING</vt:lpstr>
      <vt:lpstr>BUSDEVELNAME</vt:lpstr>
      <vt:lpstr>CBALL_N</vt:lpstr>
      <vt:lpstr>CBCUST_N</vt:lpstr>
      <vt:lpstr>CBLIGHT_N</vt:lpstr>
      <vt:lpstr>CBPROJ_N</vt:lpstr>
      <vt:lpstr>CBREQ</vt:lpstr>
      <vt:lpstr>CITIES_LIST</vt:lpstr>
      <vt:lpstr>CITYCODE</vt:lpstr>
      <vt:lpstr>CMECOMPAIRLIST_N</vt:lpstr>
      <vt:lpstr>CMECOOKLIST_N</vt:lpstr>
      <vt:lpstr>CMEHVACLIST_N</vt:lpstr>
      <vt:lpstr>CMEMISCLIST_N</vt:lpstr>
      <vt:lpstr>CMEMOTORLIST_N</vt:lpstr>
      <vt:lpstr>CMEREFRILIST_N</vt:lpstr>
      <vt:lpstr>COMPBUILD_N</vt:lpstr>
      <vt:lpstr>COMPDTM_N</vt:lpstr>
      <vt:lpstr>COMPMEASURE_N</vt:lpstr>
      <vt:lpstr>COMPPAY_N</vt:lpstr>
      <vt:lpstr>COMPTA_N</vt:lpstr>
      <vt:lpstr>COMPTERMS_N</vt:lpstr>
      <vt:lpstr>COMPWBP_N</vt:lpstr>
      <vt:lpstr>COSTTOTAL_N</vt:lpstr>
      <vt:lpstr>COSTTOTALALL_N</vt:lpstr>
      <vt:lpstr>COSTTOTALCUST_N</vt:lpstr>
      <vt:lpstr>COSTTOTALLIGHT_N</vt:lpstr>
      <vt:lpstr>COSTTOTALSTD_N</vt:lpstr>
      <vt:lpstr>COSTTOTALWBP_N</vt:lpstr>
      <vt:lpstr>COSTTYPELIST</vt:lpstr>
      <vt:lpstr>COUNTYCODE</vt:lpstr>
      <vt:lpstr>CUSTINFOLIST</vt:lpstr>
      <vt:lpstr>CUSTOMPROJECTTYPE</vt:lpstr>
      <vt:lpstr>DESIGNTEAMLIST</vt:lpstr>
      <vt:lpstr>EDR</vt:lpstr>
      <vt:lpstr>ELECPHASES</vt:lpstr>
      <vt:lpstr>ELOSS</vt:lpstr>
      <vt:lpstr>ENDUSECAT</vt:lpstr>
      <vt:lpstr>ENERGYCODESLIST</vt:lpstr>
      <vt:lpstr>ENERGYMODELLIST</vt:lpstr>
      <vt:lpstr>ENGCALC_N</vt:lpstr>
      <vt:lpstr>ENGDATE_N</vt:lpstr>
      <vt:lpstr>ENGNRSNAMES</vt:lpstr>
      <vt:lpstr>ENGSIGN_N</vt:lpstr>
      <vt:lpstr>EXPIRATION</vt:lpstr>
      <vt:lpstr>EXPIRATION_DATE</vt:lpstr>
      <vt:lpstr>EXPNOTICE_N</vt:lpstr>
      <vt:lpstr>EXTLPDNUMBER</vt:lpstr>
      <vt:lpstr>FOOT1</vt:lpstr>
      <vt:lpstr>FOOT2</vt:lpstr>
      <vt:lpstr>FOOT3</vt:lpstr>
      <vt:lpstr>FOOT4</vt:lpstr>
      <vt:lpstr>FOOT5</vt:lpstr>
      <vt:lpstr>FOOT6</vt:lpstr>
      <vt:lpstr>FOOTDISCLAIM</vt:lpstr>
      <vt:lpstr>FOOTDISCLAIM_N</vt:lpstr>
      <vt:lpstr>FOOTDISCLAIM_X</vt:lpstr>
      <vt:lpstr>GDR</vt:lpstr>
      <vt:lpstr>GLOSS</vt:lpstr>
      <vt:lpstr>GROWBASELABOR</vt:lpstr>
      <vt:lpstr>GROWBASELABOR2</vt:lpstr>
      <vt:lpstr>GROWBASELABOR3</vt:lpstr>
      <vt:lpstr>GROWBASELABOR4</vt:lpstr>
      <vt:lpstr>GROWBASEMATERIAL</vt:lpstr>
      <vt:lpstr>GROWBASEMATERIAL2</vt:lpstr>
      <vt:lpstr>GROWBASEMATERIAL3</vt:lpstr>
      <vt:lpstr>GROWBASEMATERIAL4</vt:lpstr>
      <vt:lpstr>GROWBASEWATT</vt:lpstr>
      <vt:lpstr>GROWBASEWATT2</vt:lpstr>
      <vt:lpstr>GROWBASEWATT3</vt:lpstr>
      <vt:lpstr>GROWBASEWATT4</vt:lpstr>
      <vt:lpstr>GROWEFFLABOR</vt:lpstr>
      <vt:lpstr>GROWEFFLABOR2</vt:lpstr>
      <vt:lpstr>GROWEFFLABOR3</vt:lpstr>
      <vt:lpstr>GROWEFFLABOR4</vt:lpstr>
      <vt:lpstr>GROWEFFMATERIAL</vt:lpstr>
      <vt:lpstr>GROWEFFMATERIAL2</vt:lpstr>
      <vt:lpstr>GROWEFFMATERIAL3</vt:lpstr>
      <vt:lpstr>GROWEFFMATERIAL4</vt:lpstr>
      <vt:lpstr>GROWEFFPPF</vt:lpstr>
      <vt:lpstr>GROWEFFPPF2</vt:lpstr>
      <vt:lpstr>GROWEFFPPF3</vt:lpstr>
      <vt:lpstr>GROWEFFPPF4</vt:lpstr>
      <vt:lpstr>GROWEFFWATT</vt:lpstr>
      <vt:lpstr>GROWEFFWATT2</vt:lpstr>
      <vt:lpstr>GROWEFFWATT3</vt:lpstr>
      <vt:lpstr>GROWEFFWATT4</vt:lpstr>
      <vt:lpstr>IMPLSPECNAME</vt:lpstr>
      <vt:lpstr>INCCOSTCAP</vt:lpstr>
      <vt:lpstr>INCENSTATUS_N</vt:lpstr>
      <vt:lpstr>INCENTOTAL_N</vt:lpstr>
      <vt:lpstr>INCENTOTALCUST_N</vt:lpstr>
      <vt:lpstr>INCENTOTALLIGHT_N</vt:lpstr>
      <vt:lpstr>INCENTOTALPROV_N</vt:lpstr>
      <vt:lpstr>INCENTOTALSTD_N</vt:lpstr>
      <vt:lpstr>INCENTOTALWBP_N</vt:lpstr>
      <vt:lpstr>INCENTTYPE_LIST</vt:lpstr>
      <vt:lpstr>INCPREAPPROVAL</vt:lpstr>
      <vt:lpstr>INSTALL</vt:lpstr>
      <vt:lpstr>INSTALLERLIST</vt:lpstr>
      <vt:lpstr>INTLPDNUMBER</vt:lpstr>
      <vt:lpstr>KWHRATEMAX</vt:lpstr>
      <vt:lpstr>KWHRATEMIN</vt:lpstr>
      <vt:lpstr>KWHSTATUS_N</vt:lpstr>
      <vt:lpstr>KWHTOTAL_N</vt:lpstr>
      <vt:lpstr>KWHTOTALALL_N</vt:lpstr>
      <vt:lpstr>KWHTOTALALLCUST_N</vt:lpstr>
      <vt:lpstr>KWHTOTALALLLIGHT_N</vt:lpstr>
      <vt:lpstr>KWHTOTALALLSTD_N</vt:lpstr>
      <vt:lpstr>KWHTOTALALLWBP_N</vt:lpstr>
      <vt:lpstr>KWHTOTALCUST_N</vt:lpstr>
      <vt:lpstr>KWHTOTALLIGHT_N</vt:lpstr>
      <vt:lpstr>KWHTOTALPROV_N</vt:lpstr>
      <vt:lpstr>KWHTOTALSTD_N</vt:lpstr>
      <vt:lpstr>KWHTOTALWBP_N</vt:lpstr>
      <vt:lpstr>KWRATE</vt:lpstr>
      <vt:lpstr>KWTOTAL_N</vt:lpstr>
      <vt:lpstr>KWTOTALALL_N</vt:lpstr>
      <vt:lpstr>KWTOTALCUST_N</vt:lpstr>
      <vt:lpstr>KWTOTALLIGHT_N</vt:lpstr>
      <vt:lpstr>KWTOTALPROV_N</vt:lpstr>
      <vt:lpstr>KWTOTALSTD_N</vt:lpstr>
      <vt:lpstr>KWTOTALWBP_N</vt:lpstr>
      <vt:lpstr>LIST_Transformer_LF</vt:lpstr>
      <vt:lpstr>LPDSPACELIST</vt:lpstr>
      <vt:lpstr>MAIN_N</vt:lpstr>
      <vt:lpstr>MAIN3_N</vt:lpstr>
      <vt:lpstr>MAIN4_N</vt:lpstr>
      <vt:lpstr>MAIN5_N</vt:lpstr>
      <vt:lpstr>MAIN6_N</vt:lpstr>
      <vt:lpstr>MAIN7_N</vt:lpstr>
      <vt:lpstr>MEASTOTALALL_N</vt:lpstr>
      <vt:lpstr>MEASTOTALCUS_N</vt:lpstr>
      <vt:lpstr>MEASTOTALLIGHT_N</vt:lpstr>
      <vt:lpstr>MEASTOTALPRES_N</vt:lpstr>
      <vt:lpstr>MEASTOTALWBP_N</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N02S01F01</vt:lpstr>
      <vt:lpstr>N02S01F02</vt:lpstr>
      <vt:lpstr>N02S01F03</vt:lpstr>
      <vt:lpstr>N02S02F01</vt:lpstr>
      <vt:lpstr>N02S02F02</vt:lpstr>
      <vt:lpstr>N02S02F03</vt:lpstr>
      <vt:lpstr>N02S02F04</vt:lpstr>
      <vt:lpstr>N02S02F05</vt:lpstr>
      <vt:lpstr>N02S02F06</vt:lpstr>
      <vt:lpstr>N02S02F07</vt:lpstr>
      <vt:lpstr>N02S02F08</vt:lpstr>
      <vt:lpstr>N02S02F09</vt:lpstr>
      <vt:lpstr>N02S02F10</vt:lpstr>
      <vt:lpstr>N02S02F11</vt:lpstr>
      <vt:lpstr>N02S02F12</vt:lpstr>
      <vt:lpstr>N02S02F13</vt:lpstr>
      <vt:lpstr>N02S02F14</vt:lpstr>
      <vt:lpstr>N02S02F15</vt:lpstr>
      <vt:lpstr>N02S02F16</vt:lpstr>
      <vt:lpstr>N02S02F17</vt:lpstr>
      <vt:lpstr>N02S02F18</vt:lpstr>
      <vt:lpstr>N02S02F19</vt:lpstr>
      <vt:lpstr>N02S02F20</vt:lpstr>
      <vt:lpstr>N02S02F21</vt:lpstr>
      <vt:lpstr>N02S02F22</vt:lpstr>
      <vt:lpstr>N02S02F23</vt:lpstr>
      <vt:lpstr>N02S02F24</vt:lpstr>
      <vt:lpstr>N02S02F25</vt:lpstr>
      <vt:lpstr>N02S02F26</vt:lpstr>
      <vt:lpstr>N02S02F27</vt:lpstr>
      <vt:lpstr>N02S02F28</vt:lpstr>
      <vt:lpstr>N02S02F29</vt:lpstr>
      <vt:lpstr>N02S02F30</vt:lpstr>
      <vt:lpstr>N02S02F31</vt:lpstr>
      <vt:lpstr>N02S02F32</vt:lpstr>
      <vt:lpstr>N02S02F33</vt:lpstr>
      <vt:lpstr>N02S02F34</vt:lpstr>
      <vt:lpstr>N02S02F35</vt:lpstr>
      <vt:lpstr>N02S02F36</vt:lpstr>
      <vt:lpstr>N02S02F37</vt:lpstr>
      <vt:lpstr>N02S02F38</vt:lpstr>
      <vt:lpstr>N02S02F39</vt:lpstr>
      <vt:lpstr>N02S02F40</vt:lpstr>
      <vt:lpstr>N02S02F41</vt:lpstr>
      <vt:lpstr>N02S02F42</vt:lpstr>
      <vt:lpstr>N02S02F43</vt:lpstr>
      <vt:lpstr>N02S02F44</vt:lpstr>
      <vt:lpstr>N02S02F45</vt:lpstr>
      <vt:lpstr>N02S02F46</vt:lpstr>
      <vt:lpstr>N02S02F47</vt:lpstr>
      <vt:lpstr>N02S02F48</vt:lpstr>
      <vt:lpstr>N02S02F49</vt:lpstr>
      <vt:lpstr>N02S02F50</vt:lpstr>
      <vt:lpstr>N02S02F51</vt:lpstr>
      <vt:lpstr>N02S02F52</vt:lpstr>
      <vt:lpstr>N02S02F53</vt:lpstr>
      <vt:lpstr>N02S02F54</vt:lpstr>
      <vt:lpstr>N02S02F55</vt:lpstr>
      <vt:lpstr>N02S02F56</vt:lpstr>
      <vt:lpstr>N02S02F57</vt:lpstr>
      <vt:lpstr>N02S02F58</vt:lpstr>
      <vt:lpstr>N02S02F59</vt:lpstr>
      <vt:lpstr>N02S02F60</vt:lpstr>
      <vt:lpstr>N02S03F01</vt:lpstr>
      <vt:lpstr>N02S03F02</vt:lpstr>
      <vt:lpstr>N02S03F03</vt:lpstr>
      <vt:lpstr>N02S03F04</vt:lpstr>
      <vt:lpstr>N02S03F05</vt:lpstr>
      <vt:lpstr>N02S03F06</vt:lpstr>
      <vt:lpstr>N02S03F07</vt:lpstr>
      <vt:lpstr>N02S03F08</vt:lpstr>
      <vt:lpstr>N02S03F09</vt:lpstr>
      <vt:lpstr>N02S03F10</vt:lpstr>
      <vt:lpstr>N02S03F11</vt:lpstr>
      <vt:lpstr>N02S03F12</vt:lpstr>
      <vt:lpstr>N02S03F13</vt:lpstr>
      <vt:lpstr>N02S03F14</vt:lpstr>
      <vt:lpstr>N02S03F15</vt:lpstr>
      <vt:lpstr>N02S03F16</vt:lpstr>
      <vt:lpstr>N02S03F17</vt:lpstr>
      <vt:lpstr>N02S03F18</vt:lpstr>
      <vt:lpstr>N02S03F19</vt:lpstr>
      <vt:lpstr>N02S03F20</vt:lpstr>
      <vt:lpstr>N02S03F21</vt:lpstr>
      <vt:lpstr>N02S03F22</vt:lpstr>
      <vt:lpstr>N02S03F23</vt:lpstr>
      <vt:lpstr>N02S03F24</vt:lpstr>
      <vt:lpstr>N02S03F25</vt:lpstr>
      <vt:lpstr>N02S03F26</vt:lpstr>
      <vt:lpstr>N02S03F27</vt:lpstr>
      <vt:lpstr>N02S03F28</vt:lpstr>
      <vt:lpstr>N02S03F29</vt:lpstr>
      <vt:lpstr>N02S03F30</vt:lpstr>
      <vt:lpstr>N02S03F31</vt:lpstr>
      <vt:lpstr>N02S03F32</vt:lpstr>
      <vt:lpstr>N02S03F33</vt:lpstr>
      <vt:lpstr>N02S03F34</vt:lpstr>
      <vt:lpstr>N02S03F35</vt:lpstr>
      <vt:lpstr>N02S03F36</vt:lpstr>
      <vt:lpstr>N02S04F01</vt:lpstr>
      <vt:lpstr>N02S04F02</vt:lpstr>
      <vt:lpstr>N02S04F03</vt:lpstr>
      <vt:lpstr>N02S04F04</vt:lpstr>
      <vt:lpstr>N02S04F05</vt:lpstr>
      <vt:lpstr>N02S04F06</vt:lpstr>
      <vt:lpstr>N02S04F07</vt:lpstr>
      <vt:lpstr>N02S04F08</vt:lpstr>
      <vt:lpstr>N02S04F09</vt:lpstr>
      <vt:lpstr>N02S04F10</vt:lpstr>
      <vt:lpstr>N02S04F11</vt:lpstr>
      <vt:lpstr>N02S04F12</vt:lpstr>
      <vt:lpstr>N02S04F13</vt:lpstr>
      <vt:lpstr>N02S04F14</vt:lpstr>
      <vt:lpstr>N02S04F15</vt:lpstr>
      <vt:lpstr>N02S04F16</vt:lpstr>
      <vt:lpstr>N02S04F17</vt:lpstr>
      <vt:lpstr>N02S04F18</vt:lpstr>
      <vt:lpstr>N02S04F19</vt:lpstr>
      <vt:lpstr>N02S04F20</vt:lpstr>
      <vt:lpstr>N02S04F21</vt:lpstr>
      <vt:lpstr>N02S04F22</vt:lpstr>
      <vt:lpstr>N02S04F23</vt:lpstr>
      <vt:lpstr>N02S04F24</vt:lpstr>
      <vt:lpstr>N02S04F25</vt:lpstr>
      <vt:lpstr>N02S04F26</vt:lpstr>
      <vt:lpstr>N02S04F27</vt:lpstr>
      <vt:lpstr>N02S04F28</vt:lpstr>
      <vt:lpstr>N02S04F29</vt:lpstr>
      <vt:lpstr>N02S04F30</vt:lpstr>
      <vt:lpstr>N02S04F31</vt:lpstr>
      <vt:lpstr>N02S04F32</vt:lpstr>
      <vt:lpstr>N02S04F33</vt:lpstr>
      <vt:lpstr>N02S04F34</vt:lpstr>
      <vt:lpstr>N02S04F35</vt:lpstr>
      <vt:lpstr>N02S04F36</vt:lpstr>
      <vt:lpstr>N02S04F37</vt:lpstr>
      <vt:lpstr>N02S04F38</vt:lpstr>
      <vt:lpstr>N02S04F39</vt:lpstr>
      <vt:lpstr>N02S04F40</vt:lpstr>
      <vt:lpstr>N02S04F41</vt:lpstr>
      <vt:lpstr>N02S04TB1</vt:lpstr>
      <vt:lpstr>N02S04TB10</vt:lpstr>
      <vt:lpstr>N02S04TB11</vt:lpstr>
      <vt:lpstr>N02S04TB12</vt:lpstr>
      <vt:lpstr>N02S04TB13</vt:lpstr>
      <vt:lpstr>N02S04TB14</vt:lpstr>
      <vt:lpstr>N02S04TB15</vt:lpstr>
      <vt:lpstr>N02S04TB2</vt:lpstr>
      <vt:lpstr>N02S04TB3</vt:lpstr>
      <vt:lpstr>N02S04TB4</vt:lpstr>
      <vt:lpstr>N02S04TB5</vt:lpstr>
      <vt:lpstr>N02S04TB6</vt:lpstr>
      <vt:lpstr>N02S04TB7</vt:lpstr>
      <vt:lpstr>N02S04TB8</vt:lpstr>
      <vt:lpstr>N02S04TB9</vt:lpstr>
      <vt:lpstr>N04S09F01</vt:lpstr>
      <vt:lpstr>N04S09F02</vt:lpstr>
      <vt:lpstr>N04S09F03</vt:lpstr>
      <vt:lpstr>N04S09F04</vt:lpstr>
      <vt:lpstr>N04S09F05</vt:lpstr>
      <vt:lpstr>N04S09F06</vt:lpstr>
      <vt:lpstr>N04S09F07</vt:lpstr>
      <vt:lpstr>N04S09F08</vt:lpstr>
      <vt:lpstr>N04S09F09</vt:lpstr>
      <vt:lpstr>N04S09F10</vt:lpstr>
      <vt:lpstr>N05S01F01</vt:lpstr>
      <vt:lpstr>N05S01F02</vt:lpstr>
      <vt:lpstr>N05S01F03</vt:lpstr>
      <vt:lpstr>N05S01F04</vt:lpstr>
      <vt:lpstr>N05S01F05</vt:lpstr>
      <vt:lpstr>N05S01F06</vt:lpstr>
      <vt:lpstr>N05S01F07</vt:lpstr>
      <vt:lpstr>N05S01F08</vt:lpstr>
      <vt:lpstr>N05S01F09</vt:lpstr>
      <vt:lpstr>N05S01F10</vt:lpstr>
      <vt:lpstr>N05S01F11</vt:lpstr>
      <vt:lpstr>N05S01F12</vt:lpstr>
      <vt:lpstr>N05S01F13</vt:lpstr>
      <vt:lpstr>N05S01F14</vt:lpstr>
      <vt:lpstr>N05S01F15</vt:lpstr>
      <vt:lpstr>N05S04F01</vt:lpstr>
      <vt:lpstr>N05S04F02</vt:lpstr>
      <vt:lpstr>N05S04F03</vt:lpstr>
      <vt:lpstr>N05S05F01</vt:lpstr>
      <vt:lpstr>N05S05F02</vt:lpstr>
      <vt:lpstr>N05S07F02</vt:lpstr>
      <vt:lpstr>N05S07F03</vt:lpstr>
      <vt:lpstr>N05S07F04</vt:lpstr>
      <vt:lpstr>N05S07F05</vt:lpstr>
      <vt:lpstr>N05S07F06</vt:lpstr>
      <vt:lpstr>N05S07F07</vt:lpstr>
      <vt:lpstr>N05S07F08</vt:lpstr>
      <vt:lpstr>N05S07F09</vt:lpstr>
      <vt:lpstr>N1S1</vt:lpstr>
      <vt:lpstr>N1S2</vt:lpstr>
      <vt:lpstr>N1S3</vt:lpstr>
      <vt:lpstr>N1S4</vt:lpstr>
      <vt:lpstr>N1S5</vt:lpstr>
      <vt:lpstr>N1S6</vt:lpstr>
      <vt:lpstr>N1S7</vt:lpstr>
      <vt:lpstr>N1S8</vt:lpstr>
      <vt:lpstr>N2S1</vt:lpstr>
      <vt:lpstr>N2S2</vt:lpstr>
      <vt:lpstr>N2S3</vt:lpstr>
      <vt:lpstr>N2S4</vt:lpstr>
      <vt:lpstr>N2S5</vt:lpstr>
      <vt:lpstr>N2S6</vt:lpstr>
      <vt:lpstr>N2S7</vt:lpstr>
      <vt:lpstr>N2S8</vt:lpstr>
      <vt:lpstr>N3S1</vt:lpstr>
      <vt:lpstr>N3S2</vt:lpstr>
      <vt:lpstr>N3S3</vt:lpstr>
      <vt:lpstr>N3S4</vt:lpstr>
      <vt:lpstr>N3S5</vt:lpstr>
      <vt:lpstr>N3S6</vt:lpstr>
      <vt:lpstr>N3S7</vt:lpstr>
      <vt:lpstr>N3S8</vt:lpstr>
      <vt:lpstr>N3S9</vt:lpstr>
      <vt:lpstr>N4S1</vt:lpstr>
      <vt:lpstr>N4S1UNITCHECK</vt:lpstr>
      <vt:lpstr>N4S2</vt:lpstr>
      <vt:lpstr>N4S2UNITCHECK</vt:lpstr>
      <vt:lpstr>N4S3</vt:lpstr>
      <vt:lpstr>N4S3UNITCHECK</vt:lpstr>
      <vt:lpstr>N4S4</vt:lpstr>
      <vt:lpstr>N4S4UNITCHECK</vt:lpstr>
      <vt:lpstr>N4S5</vt:lpstr>
      <vt:lpstr>N4S5UNITCHECK</vt:lpstr>
      <vt:lpstr>N4S6</vt:lpstr>
      <vt:lpstr>N4S6UNITCHECK</vt:lpstr>
      <vt:lpstr>N4S7</vt:lpstr>
      <vt:lpstr>N4S8</vt:lpstr>
      <vt:lpstr>N4S9</vt:lpstr>
      <vt:lpstr>N5S1</vt:lpstr>
      <vt:lpstr>N5S2</vt:lpstr>
      <vt:lpstr>N5S3</vt:lpstr>
      <vt:lpstr>N5S4</vt:lpstr>
      <vt:lpstr>N5S5</vt:lpstr>
      <vt:lpstr>N5S6</vt:lpstr>
      <vt:lpstr>N5S7</vt:lpstr>
      <vt:lpstr>N5S8</vt:lpstr>
      <vt:lpstr>N6S1</vt:lpstr>
      <vt:lpstr>N6S2</vt:lpstr>
      <vt:lpstr>N6S3</vt:lpstr>
      <vt:lpstr>N6S4</vt:lpstr>
      <vt:lpstr>N6S5</vt:lpstr>
      <vt:lpstr>N6S6</vt:lpstr>
      <vt:lpstr>N6S7</vt:lpstr>
      <vt:lpstr>N6S8</vt:lpstr>
      <vt:lpstr>N7S1</vt:lpstr>
      <vt:lpstr>N7S2</vt:lpstr>
      <vt:lpstr>N7S3</vt:lpstr>
      <vt:lpstr>N7S4</vt:lpstr>
      <vt:lpstr>N7S5</vt:lpstr>
      <vt:lpstr>N7S6</vt:lpstr>
      <vt:lpstr>N7S7</vt:lpstr>
      <vt:lpstr>N7S8</vt:lpstr>
      <vt:lpstr>NCLIGHTINGCAP</vt:lpstr>
      <vt:lpstr>NCLIGHTINGRATE</vt:lpstr>
      <vt:lpstr>NEWCONCODE</vt:lpstr>
      <vt:lpstr>OVERRIDETOTAL_N</vt:lpstr>
      <vt:lpstr>PAYALL_N</vt:lpstr>
      <vt:lpstr>PAYBACKREQ</vt:lpstr>
      <vt:lpstr>PAYCUST_N</vt:lpstr>
      <vt:lpstr>PayeeChckBox_N</vt:lpstr>
      <vt:lpstr>PAYLIGHT_N</vt:lpstr>
      <vt:lpstr>PAYMENTLIST</vt:lpstr>
      <vt:lpstr>PAYMENTLIST_N</vt:lpstr>
      <vt:lpstr>Paymentlist_x</vt:lpstr>
      <vt:lpstr>PAYPROJ_N</vt:lpstr>
      <vt:lpstr>PAYTO</vt:lpstr>
      <vt:lpstr>PEAKTD</vt:lpstr>
      <vt:lpstr>PNAME</vt:lpstr>
      <vt:lpstr>'N01-S01'!Print_Area</vt:lpstr>
      <vt:lpstr>'N01-S02'!Print_Area</vt:lpstr>
      <vt:lpstr>'N01-S03'!Print_Area</vt:lpstr>
      <vt:lpstr>'N02-S01'!Print_Area</vt:lpstr>
      <vt:lpstr>'N02-S02'!Print_Area</vt:lpstr>
      <vt:lpstr>'N02-S03'!Print_Area</vt:lpstr>
      <vt:lpstr>'N02-S04'!Print_Area</vt:lpstr>
      <vt:lpstr>'N03-S01'!Print_Area</vt:lpstr>
      <vt:lpstr>'N03-S04'!Print_Area</vt:lpstr>
      <vt:lpstr>'N03-S06'!Print_Area</vt:lpstr>
      <vt:lpstr>'N04-S01'!Print_Area</vt:lpstr>
      <vt:lpstr>'N04-S02'!Print_Area</vt:lpstr>
      <vt:lpstr>'N04-S03'!Print_Area</vt:lpstr>
      <vt:lpstr>'N04-S04'!Print_Area</vt:lpstr>
      <vt:lpstr>'N04-S05'!Print_Area</vt:lpstr>
      <vt:lpstr>'N04-S06'!Print_Area</vt:lpstr>
      <vt:lpstr>'N05-S01'!Print_Area</vt:lpstr>
      <vt:lpstr>'N05-S02'!Print_Area</vt:lpstr>
      <vt:lpstr>'N05-S02-1'!Print_Area</vt:lpstr>
      <vt:lpstr>'N05-S03'!Print_Area</vt:lpstr>
      <vt:lpstr>'N05-S04'!Print_Area</vt:lpstr>
      <vt:lpstr>'N05-S05'!Print_Area</vt:lpstr>
      <vt:lpstr>'N05-S07'!Print_Area</vt:lpstr>
      <vt:lpstr>'xN03-S03-1a'!Print_Area</vt:lpstr>
      <vt:lpstr>'xN03-S03-1b'!Print_Area</vt:lpstr>
      <vt:lpstr>'zN03-S05'!Print_Area</vt:lpstr>
      <vt:lpstr>PROGRAM</vt:lpstr>
      <vt:lpstr>PROGRESSSTATUS_N</vt:lpstr>
      <vt:lpstr>PROJECTSTATCB</vt:lpstr>
      <vt:lpstr>PROJECTSTATPAYBACK</vt:lpstr>
      <vt:lpstr>PROJECTSTATPAYBACKCUS</vt:lpstr>
      <vt:lpstr>PROJECTSTATPAYBACKRCX</vt:lpstr>
      <vt:lpstr>PROJECTTYPELIST</vt:lpstr>
      <vt:lpstr>PROJID_N</vt:lpstr>
      <vt:lpstr>PROJSTATELI</vt:lpstr>
      <vt:lpstr>PROJSTATEXP</vt:lpstr>
      <vt:lpstr>PROJSTATMEASURE</vt:lpstr>
      <vt:lpstr>PROJSTATPREAPPROVE</vt:lpstr>
      <vt:lpstr>PROJSTATRES</vt:lpstr>
      <vt:lpstr>PROJSTATREVIEW</vt:lpstr>
      <vt:lpstr>PROJSTATSTANDARD</vt:lpstr>
      <vt:lpstr>PROJSTATUNDER</vt:lpstr>
      <vt:lpstr>PROJSTATUS_N</vt:lpstr>
      <vt:lpstr>PROJTYPELIST_N</vt:lpstr>
      <vt:lpstr>RATECLASSLIST</vt:lpstr>
      <vt:lpstr>RCXTHRESH</vt:lpstr>
      <vt:lpstr>SHEAT</vt:lpstr>
      <vt:lpstr>SPACELPD1</vt:lpstr>
      <vt:lpstr>SPACELPD2</vt:lpstr>
      <vt:lpstr>SPACELPD3</vt:lpstr>
      <vt:lpstr>SPACELPD4</vt:lpstr>
      <vt:lpstr>SPACELPD5</vt:lpstr>
      <vt:lpstr>SPACELPD6</vt:lpstr>
      <vt:lpstr>SPACETYPE1</vt:lpstr>
      <vt:lpstr>SPACETYPE2</vt:lpstr>
      <vt:lpstr>SPACETYPE3</vt:lpstr>
      <vt:lpstr>SPACETYPE4</vt:lpstr>
      <vt:lpstr>SPACETYPE5</vt:lpstr>
      <vt:lpstr>SPACETYPE6</vt:lpstr>
      <vt:lpstr>SPACEWATT1</vt:lpstr>
      <vt:lpstr>SPACEWATT2</vt:lpstr>
      <vt:lpstr>SPACEWATT3</vt:lpstr>
      <vt:lpstr>SPACEWATT4</vt:lpstr>
      <vt:lpstr>SPACEWATT5</vt:lpstr>
      <vt:lpstr>SPACEWATT6</vt:lpstr>
      <vt:lpstr>SPILLOVERNUMBER</vt:lpstr>
      <vt:lpstr>STATESABBREV</vt:lpstr>
      <vt:lpstr>STDHVACEFFMIN_N</vt:lpstr>
      <vt:lpstr>STDHVACINC_N</vt:lpstr>
      <vt:lpstr>STDHVACLIST_N</vt:lpstr>
      <vt:lpstr>STDHVACMEASURES_N</vt:lpstr>
      <vt:lpstr>STDHVACTONMAX_N</vt:lpstr>
      <vt:lpstr>STDHVACTONMIN_N</vt:lpstr>
      <vt:lpstr>STDREFRIGINC_N</vt:lpstr>
      <vt:lpstr>STDREFRIGLIST_N</vt:lpstr>
      <vt:lpstr>STDWATERINC_N</vt:lpstr>
      <vt:lpstr>STDWATERLIST_N</vt:lpstr>
      <vt:lpstr>TAXLIST</vt:lpstr>
      <vt:lpstr>TOTCOSTCAP</vt:lpstr>
      <vt:lpstr>TRANSFERID</vt:lpstr>
      <vt:lpstr>VERSION</vt:lpstr>
      <vt:lpstr>WBPCAP</vt:lpstr>
      <vt:lpstr>WBPELIGIBILENO</vt:lpstr>
      <vt:lpstr>WBPELIGIBILEYES</vt:lpstr>
      <vt:lpstr>YESNOLIST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2022-01-21T19:48:33Z</cp:lastPrinted>
  <dcterms:created xsi:type="dcterms:W3CDTF">2015-10-07T20:52:11Z</dcterms:created>
  <dcterms:modified xsi:type="dcterms:W3CDTF">2025-04-04T21:19:38Z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